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a.l-l/Desktop/56/"/>
    </mc:Choice>
  </mc:AlternateContent>
  <xr:revisionPtr revIDLastSave="0" documentId="13_ncr:1_{B6B7ADEB-60DB-C34F-9FE2-1CAD28FB516E}" xr6:coauthVersionLast="47" xr6:coauthVersionMax="47" xr10:uidLastSave="{00000000-0000-0000-0000-000000000000}"/>
  <bookViews>
    <workbookView xWindow="0" yWindow="760" windowWidth="29040" windowHeight="1572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0" i="6" l="1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09" i="6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78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47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16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85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54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23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GL4" i="2"/>
  <c r="BQ4" i="2"/>
  <c r="F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C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V7" i="2" l="1"/>
  <c r="EW7" i="2"/>
  <c r="EA7" i="2"/>
  <c r="HI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X18" i="2"/>
  <c r="HG18" i="2"/>
  <c r="EW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HH20" i="2"/>
  <c r="FS20" i="2"/>
  <c r="EC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V21" i="2"/>
  <c r="EW21" i="2"/>
  <c r="EB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C22" i="2"/>
  <c r="EA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EV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C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B33" i="2" l="1"/>
  <c r="EA33" i="2"/>
  <c r="EV33" i="2"/>
  <c r="HG33" i="2"/>
  <c r="HH33" i="2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CM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EA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EX38" i="2"/>
  <c r="EA38" i="2"/>
  <c r="FS38" i="2"/>
  <c r="HI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DG43" i="2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G44" i="2"/>
  <c r="EC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EB45" i="2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I46" i="2"/>
  <c r="HG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G48" i="2"/>
  <c r="HI48" i="2"/>
  <c r="HH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EV57" i="2"/>
  <c r="HI57" i="2"/>
  <c r="FS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HH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A61" i="2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G70" i="2"/>
  <c r="HI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HG74" i="2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FS75" i="2"/>
  <c r="HH75" i="2"/>
  <c r="HG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A77" i="2"/>
  <c r="EB77" i="2"/>
  <c r="HI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EV78" i="2"/>
  <c r="EB78" i="2"/>
  <c r="HI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G85" i="2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C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A107" i="2"/>
  <c r="EB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C112" i="2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W113" i="2" l="1"/>
  <c r="EC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EC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H120" i="2"/>
  <c r="FR120" i="2"/>
  <c r="FQ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FS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EX128" i="2"/>
  <c r="EB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HH130" i="2"/>
  <c r="HG130" i="2"/>
  <c r="FS130" i="2"/>
  <c r="HI130" i="2"/>
  <c r="EB130" i="2"/>
  <c r="EW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I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V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FS139" i="2"/>
  <c r="HH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FS140" i="2"/>
  <c r="FR140" i="2"/>
  <c r="HH140" i="2"/>
  <c r="HG140" i="2"/>
  <c r="EC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A141" i="2"/>
  <c r="HG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H144" i="2"/>
  <c r="EX144" i="2"/>
  <c r="HG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HH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H146" i="2"/>
  <c r="HI146" i="2"/>
  <c r="HG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HG149" i="2"/>
  <c r="HH149" i="2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EV150" i="2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B152" i="2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HH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EX155" i="2"/>
  <c r="EY154" i="2"/>
  <c r="DI154" i="2"/>
  <c r="EA155" i="2"/>
  <c r="EW155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Y155" i="2" l="1"/>
  <c r="EX156" i="2"/>
  <c r="ED155" i="2"/>
  <c r="DH156" i="2"/>
  <c r="AB156" i="2"/>
  <c r="EB156" i="2"/>
  <c r="FS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A157" i="2"/>
  <c r="EB157" i="2"/>
  <c r="CN156" i="2"/>
  <c r="EC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EV158" i="2"/>
  <c r="EW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C159" i="2"/>
  <c r="EA159" i="2"/>
  <c r="HI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HG160" i="2"/>
  <c r="EC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A161" i="2"/>
  <c r="EB161" i="2"/>
  <c r="EX161" i="2"/>
  <c r="AB161" i="2"/>
  <c r="HH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DI161" i="2"/>
  <c r="EY161" i="2"/>
  <c r="EW162" i="2"/>
  <c r="EB162" i="2"/>
  <c r="EC162" i="2"/>
  <c r="HH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D162" i="2"/>
  <c r="HH163" i="2"/>
  <c r="EB163" i="2"/>
  <c r="EV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ED163" i="2"/>
  <c r="EA164" i="2"/>
  <c r="DI163" i="2"/>
  <c r="DH164" i="2"/>
  <c r="EV164" i="2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HH165" i="2"/>
  <c r="EX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CN165" i="2"/>
  <c r="EC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DG167" i="2"/>
  <c r="EA167" i="2"/>
  <c r="HI167" i="2"/>
  <c r="EB167" i="2"/>
  <c r="FR167" i="2"/>
  <c r="EC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C168" i="2"/>
  <c r="DI167" i="2"/>
  <c r="EV168" i="2"/>
  <c r="HH168" i="2"/>
  <c r="EW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X169" i="2"/>
  <c r="EA169" i="2"/>
  <c r="HH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V172" i="2"/>
  <c r="EB172" i="2"/>
  <c r="HG172" i="2"/>
  <c r="EA172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W173" i="2"/>
  <c r="EX173" i="2"/>
  <c r="EB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EW175" i="2"/>
  <c r="EB175" i="2"/>
  <c r="EA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C176" i="2"/>
  <c r="HH176" i="2"/>
  <c r="EB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C177" i="2"/>
  <c r="FQ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EA178" i="2"/>
  <c r="FQ178" i="2"/>
  <c r="EB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A179" i="2"/>
  <c r="EV179" i="2"/>
  <c r="DF179" i="2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D179" i="2"/>
  <c r="EX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W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DG182" i="2"/>
  <c r="FS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Y182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A185" i="2"/>
  <c r="EV185" i="2"/>
  <c r="HI185" i="2"/>
  <c r="HG185" i="2"/>
  <c r="EB185" i="2"/>
  <c r="EW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EB186" i="2"/>
  <c r="EA186" i="2"/>
  <c r="EW186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HH187" i="2"/>
  <c r="HG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EV189" i="2"/>
  <c r="AA189" i="2"/>
  <c r="HH189" i="2"/>
  <c r="EB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D189" i="2"/>
  <c r="EB190" i="2"/>
  <c r="EV190" i="2"/>
  <c r="HH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EW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V192" i="2"/>
  <c r="EW192" i="2"/>
  <c r="EA192" i="2"/>
  <c r="EB192" i="2"/>
  <c r="EC192" i="2"/>
  <c r="HI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D192" i="2"/>
  <c r="EX193" i="2"/>
  <c r="DI192" i="2"/>
  <c r="EB193" i="2"/>
  <c r="EA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B194" i="2"/>
  <c r="CN193" i="2"/>
  <c r="EA194" i="2"/>
  <c r="HG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D194" i="2" l="1"/>
  <c r="EY194" i="2"/>
  <c r="EA195" i="2"/>
  <c r="DH195" i="2"/>
  <c r="HG195" i="2"/>
  <c r="AA195" i="2"/>
  <c r="HI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W197" i="2" l="1"/>
  <c r="AA197" i="2"/>
  <c r="EC197" i="2"/>
  <c r="HH197" i="2"/>
  <c r="EA197" i="2"/>
  <c r="FS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W198" i="2" l="1"/>
  <c r="ED197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V199" i="2"/>
  <c r="HH199" i="2"/>
  <c r="HG199" i="2"/>
  <c r="EA199" i="2"/>
  <c r="EW199" i="2"/>
  <c r="EB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 l="1"/>
  <c r="ED200" i="2"/>
  <c r="DI200" i="2"/>
  <c r="EB201" i="2"/>
  <c r="HH201" i="2"/>
  <c r="HG201" i="2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EX202" i="2" l="1"/>
  <c r="EY201" i="2"/>
  <c r="EW202" i="2"/>
  <c r="ED201" i="2"/>
  <c r="HG202" i="2"/>
  <c r="FR202" i="2"/>
  <c r="HH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CS66" i="2" a="1"/>
  <c r="CS66" i="2" s="1"/>
  <c r="CS52" i="2" a="1"/>
  <c r="CS52" i="2" s="1"/>
  <c r="CS129" i="2" a="1"/>
  <c r="CS129" i="2" s="1"/>
  <c r="CS116" i="2" a="1"/>
  <c r="CS116" i="2" s="1"/>
  <c r="CS137" i="2" a="1"/>
  <c r="CS137" i="2" s="1"/>
  <c r="CS77" i="2" a="1"/>
  <c r="CS77" i="2" s="1"/>
  <c r="AH19" i="2" a="1"/>
  <c r="AH19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4" i="2" a="1"/>
  <c r="EI34" i="2" s="1"/>
  <c r="CS185" i="2" a="1"/>
  <c r="CS185" i="2" s="1"/>
  <c r="CS56" i="2" a="1"/>
  <c r="CS56" i="2" s="1"/>
  <c r="CS114" i="2" a="1"/>
  <c r="CS114" i="2" s="1"/>
  <c r="DN6" i="2" a="1"/>
  <c r="DN6" i="2" s="1"/>
  <c r="DO6" i="2" s="1"/>
  <c r="CS24" i="2" a="1"/>
  <c r="CS24" i="2" s="1"/>
  <c r="CS134" i="2" a="1"/>
  <c r="CS134" i="2" s="1"/>
  <c r="CS72" i="2" a="1"/>
  <c r="CS72" i="2" s="1"/>
  <c r="BX107" i="2" a="1"/>
  <c r="BX107" i="2" s="1"/>
  <c r="FD82" i="2" a="1"/>
  <c r="FD82" i="2" s="1"/>
  <c r="HJ202" i="2"/>
  <c r="AX200" i="2"/>
  <c r="EI128" i="2" l="1" a="1"/>
  <c r="EI128" i="2" s="1"/>
  <c r="EI170" i="2" a="1"/>
  <c r="EI170" i="2" s="1"/>
  <c r="EI113" i="2" a="1"/>
  <c r="EI113" i="2" s="1"/>
  <c r="EI20" i="2" a="1"/>
  <c r="EI20" i="2" s="1"/>
  <c r="EI195" i="2" a="1"/>
  <c r="EI195" i="2" s="1"/>
  <c r="EI37" i="2" a="1"/>
  <c r="EI37" i="2" s="1"/>
  <c r="EI71" i="2" a="1"/>
  <c r="EI71" i="2" s="1"/>
  <c r="EI35" i="2" a="1"/>
  <c r="EI35" i="2" s="1"/>
  <c r="EI57" i="2" a="1"/>
  <c r="EI57" i="2" s="1"/>
  <c r="EI139" i="2" a="1"/>
  <c r="EI139" i="2" s="1"/>
  <c r="EI36" i="2" a="1"/>
  <c r="EI36" i="2" s="1"/>
  <c r="EI67" i="2" a="1"/>
  <c r="EI67" i="2" s="1"/>
  <c r="EI87" i="2" a="1"/>
  <c r="EI87" i="2" s="1"/>
  <c r="EI38" i="2" a="1"/>
  <c r="EI38" i="2" s="1"/>
  <c r="EI178" i="2" a="1"/>
  <c r="EI178" i="2" s="1"/>
  <c r="EI16" i="2" a="1"/>
  <c r="EI16" i="2" s="1"/>
  <c r="EI106" i="2" a="1"/>
  <c r="EI106" i="2" s="1"/>
  <c r="EI165" i="2" a="1"/>
  <c r="EI165" i="2" s="1"/>
  <c r="EI109" i="2" a="1"/>
  <c r="EI109" i="2" s="1"/>
  <c r="EI142" i="2" a="1"/>
  <c r="EI142" i="2" s="1"/>
  <c r="EI166" i="2" a="1"/>
  <c r="EI166" i="2" s="1"/>
  <c r="EI145" i="2" a="1"/>
  <c r="EI145" i="2" s="1"/>
  <c r="EI162" i="2" a="1"/>
  <c r="EI162" i="2" s="1"/>
  <c r="EI29" i="2" a="1"/>
  <c r="EI29" i="2" s="1"/>
  <c r="EI198" i="2" a="1"/>
  <c r="EI198" i="2" s="1"/>
  <c r="EI150" i="2" a="1"/>
  <c r="EI150" i="2" s="1"/>
  <c r="EI153" i="2" a="1"/>
  <c r="EI153" i="2" s="1"/>
  <c r="DN30" i="2" a="1"/>
  <c r="DN30" i="2" s="1"/>
  <c r="DN187" i="2" a="1"/>
  <c r="DN187" i="2" s="1"/>
  <c r="DN49" i="2" a="1"/>
  <c r="DN49" i="2" s="1"/>
  <c r="DN45" i="2" a="1"/>
  <c r="DN45" i="2" s="1"/>
  <c r="DN16" i="2" a="1"/>
  <c r="DN16" i="2" s="1"/>
  <c r="DN132" i="2" a="1"/>
  <c r="DN132" i="2" s="1"/>
  <c r="DN46" i="2" a="1"/>
  <c r="DN46" i="2" s="1"/>
  <c r="DN155" i="2" a="1"/>
  <c r="DN155" i="2" s="1"/>
  <c r="DN190" i="2" a="1"/>
  <c r="DN190" i="2" s="1"/>
  <c r="DN133" i="2" a="1"/>
  <c r="DN133" i="2" s="1"/>
  <c r="DN65" i="2" a="1"/>
  <c r="DN65" i="2" s="1"/>
  <c r="DN123" i="2" a="1"/>
  <c r="DN123" i="2" s="1"/>
  <c r="DN70" i="2" a="1"/>
  <c r="DN70" i="2" s="1"/>
  <c r="DN55" i="2" a="1"/>
  <c r="DN55" i="2" s="1"/>
  <c r="DN31" i="2" a="1"/>
  <c r="DN31" i="2" s="1"/>
  <c r="DN164" i="2" a="1"/>
  <c r="DN164" i="2" s="1"/>
  <c r="DN150" i="2" a="1"/>
  <c r="DN150" i="2" s="1"/>
  <c r="DN135" i="2" a="1"/>
  <c r="DN135" i="2" s="1"/>
  <c r="DN115" i="2" a="1"/>
  <c r="DN115" i="2" s="1"/>
  <c r="DN38" i="2" a="1"/>
  <c r="DN38" i="2" s="1"/>
  <c r="DN110" i="2" a="1"/>
  <c r="DN110" i="2" s="1"/>
  <c r="DN153" i="2" a="1"/>
  <c r="DN153" i="2" s="1"/>
  <c r="DN80" i="2" a="1"/>
  <c r="DN80" i="2" s="1"/>
  <c r="DN170" i="2" a="1"/>
  <c r="DN170" i="2" s="1"/>
  <c r="DN167" i="2" a="1"/>
  <c r="DN167" i="2" s="1"/>
  <c r="DN129" i="2" a="1"/>
  <c r="DN129" i="2" s="1"/>
  <c r="DN168" i="2" a="1"/>
  <c r="DN168" i="2" s="1"/>
  <c r="DN50" i="2" a="1"/>
  <c r="DN50" i="2" s="1"/>
  <c r="DN176" i="2" a="1"/>
  <c r="DN176" i="2" s="1"/>
  <c r="DN162" i="2" a="1"/>
  <c r="DN162" i="2" s="1"/>
  <c r="DN192" i="2" a="1"/>
  <c r="DN192" i="2" s="1"/>
  <c r="DN113" i="2" a="1"/>
  <c r="DN113" i="2" s="1"/>
  <c r="DN66" i="2" a="1"/>
  <c r="DN66" i="2" s="1"/>
  <c r="DN25" i="2" a="1"/>
  <c r="DN25" i="2" s="1"/>
  <c r="DN188" i="2" a="1"/>
  <c r="DN188" i="2" s="1"/>
  <c r="DN152" i="2" a="1"/>
  <c r="DN152" i="2" s="1"/>
  <c r="DN114" i="2" a="1"/>
  <c r="DN114" i="2" s="1"/>
  <c r="DN86" i="2" a="1"/>
  <c r="DN86" i="2" s="1"/>
  <c r="DN29" i="2" a="1"/>
  <c r="DN29" i="2" s="1"/>
  <c r="DN63" i="2" a="1"/>
  <c r="DN63" i="2" s="1"/>
  <c r="DN103" i="2" a="1"/>
  <c r="DN103" i="2" s="1"/>
  <c r="DN177" i="2" a="1"/>
  <c r="DN177" i="2" s="1"/>
  <c r="DN41" i="2" a="1"/>
  <c r="DN41" i="2" s="1"/>
  <c r="DN43" i="2" a="1"/>
  <c r="DN43" i="2" s="1"/>
  <c r="DN186" i="2" a="1"/>
  <c r="DN186" i="2" s="1"/>
  <c r="DN137" i="2" a="1"/>
  <c r="DN137" i="2" s="1"/>
  <c r="BC114" i="2" a="1"/>
  <c r="BC114" i="2" s="1"/>
  <c r="BP203" i="2"/>
  <c r="AH90" i="2" a="1"/>
  <c r="AH90" i="2" s="1"/>
  <c r="AH151" i="2" a="1"/>
  <c r="AH151" i="2" s="1"/>
  <c r="AH163" i="2" a="1"/>
  <c r="AH163" i="2" s="1"/>
  <c r="AH62" i="2" a="1"/>
  <c r="AH62" i="2" s="1"/>
  <c r="AH199" i="2" a="1"/>
  <c r="AH199" i="2" s="1"/>
  <c r="AH166" i="2" a="1"/>
  <c r="AH166" i="2" s="1"/>
  <c r="FS203" i="2"/>
  <c r="HH203" i="2"/>
  <c r="DN56" i="2" a="1"/>
  <c r="DN56" i="2" s="1"/>
  <c r="DN124" i="2" a="1"/>
  <c r="DN124" i="2" s="1"/>
  <c r="DN184" i="2" a="1"/>
  <c r="DN184" i="2" s="1"/>
  <c r="AH92" i="2" a="1"/>
  <c r="AH92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Y203" i="2" l="1"/>
  <c r="ED203" i="2"/>
  <c r="DI203" i="2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<sst xmlns="http://schemas.openxmlformats.org/spreadsheetml/2006/main" count="1180" uniqueCount="327">
  <si>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</si>
  <si>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</si>
  <si>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</si>
  <si>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</si>
  <si>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</si>
  <si>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</si>
  <si>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</si>
  <si>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</si>
  <si>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</si>
  <si>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</si>
  <si>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</si>
  <si>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</si>
  <si>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</si>
  <si>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</si>
  <si>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</si>
  <si>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</si>
  <si>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</si>
  <si>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</si>
  <si>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</si>
  <si>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</si>
  <si>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</si>
  <si>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</si>
  <si>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</si>
  <si>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</si>
  <si>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</si>
  <si>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</si>
  <si>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</si>
  <si>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</si>
  <si>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</si>
  <si>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</si>
  <si>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</si>
  <si>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</si>
  <si>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</si>
  <si>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</si>
  <si>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</si>
  <si>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</si>
  <si>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</si>
  <si>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</si>
  <si>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</si>
  <si>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</si>
  <si>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</si>
  <si>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</si>
  <si>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</si>
  <si>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</si>
  <si>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</si>
  <si>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</si>
  <si>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</si>
  <si>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</si>
  <si>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</si>
  <si>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</si>
  <si>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</si>
  <si>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</si>
  <si>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</si>
  <si>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</si>
  <si>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</si>
  <si>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</si>
  <si>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</si>
  <si>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</si>
  <si>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</si>
  <si>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</si>
  <si>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</si>
  <si>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</si>
  <si>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</si>
  <si>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</si>
  <si>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</si>
  <si>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</si>
  <si>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</si>
  <si>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</si>
  <si>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</si>
  <si>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</si>
  <si>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</si>
  <si>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</si>
  <si>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</si>
  <si>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</si>
  <si>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</si>
  <si>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</si>
  <si>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</si>
  <si>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</si>
  <si>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</si>
  <si>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</si>
  <si>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</si>
  <si>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</si>
  <si>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</si>
  <si>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</si>
  <si>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</si>
  <si>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</si>
  <si>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</si>
  <si>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</si>
  <si>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</si>
  <si>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</si>
  <si>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</si>
  <si>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</si>
  <si>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</si>
  <si>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</si>
  <si>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</si>
  <si>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</si>
  <si>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</si>
  <si>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</si>
  <si>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</si>
  <si>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</si>
  <si>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</si>
  <si>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</si>
  <si>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</si>
  <si>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</si>
  <si>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</si>
  <si>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</si>
  <si>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</si>
  <si>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</si>
  <si>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</si>
  <si>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</si>
  <si>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</si>
  <si>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</si>
  <si>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</si>
  <si>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</si>
  <si>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</si>
  <si>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</si>
  <si>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</si>
  <si>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</si>
  <si>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</si>
  <si>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</si>
  <si>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</si>
  <si>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</si>
  <si>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</si>
  <si>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</si>
  <si>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</si>
  <si>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</si>
  <si>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</si>
  <si>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</si>
  <si>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</si>
  <si>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</si>
  <si>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</si>
  <si>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</si>
  <si>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</si>
  <si>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</si>
  <si>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</si>
  <si>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</si>
  <si>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</si>
  <si>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</si>
  <si>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</si>
  <si>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</si>
  <si>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</si>
  <si>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</si>
  <si>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</si>
  <si>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</si>
  <si>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</si>
  <si>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</si>
  <si>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</si>
  <si>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</si>
  <si>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</si>
  <si>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</si>
  <si>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</si>
  <si>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</si>
  <si>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</si>
  <si>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</si>
  <si>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</si>
  <si>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</si>
  <si>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</si>
  <si>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</si>
  <si>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</si>
  <si>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</si>
  <si>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</si>
  <si>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</si>
  <si>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</si>
  <si>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</si>
  <si>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</si>
  <si>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</si>
  <si>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</si>
  <si>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</si>
  <si>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</si>
  <si>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</si>
  <si>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</si>
  <si>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</si>
  <si>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</si>
  <si>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</si>
  <si>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</si>
  <si>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</si>
  <si>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</si>
  <si>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</si>
  <si>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</si>
  <si>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</si>
  <si>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</si>
  <si>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</si>
  <si>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</si>
  <si>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</si>
  <si>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</si>
  <si>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</si>
  <si>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</si>
  <si>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</si>
  <si>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</si>
  <si>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</si>
  <si>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</si>
  <si>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</si>
  <si>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</si>
  <si>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</si>
  <si>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</si>
  <si>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</si>
  <si>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</si>
  <si>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</si>
  <si>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</si>
  <si>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</si>
  <si>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</si>
  <si>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</si>
  <si>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</si>
  <si>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</si>
  <si>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</si>
  <si>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</si>
  <si>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</si>
  <si>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</si>
  <si>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</si>
  <si>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</si>
  <si>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</si>
  <si>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</si>
  <si>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</si>
  <si>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</si>
  <si>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</si>
  <si>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</si>
  <si>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</si>
  <si>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</si>
  <si>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</si>
  <si>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</si>
  <si>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</si>
  <si>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</si>
  <si>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</si>
  <si>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</si>
  <si>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</si>
  <si>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</si>
  <si>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</si>
  <si>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</si>
  <si>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</si>
  <si>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</si>
  <si>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</si>
  <si>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</si>
  <si>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</si>
  <si>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</si>
  <si>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</si>
  <si>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</si>
  <si>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</si>
  <si>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</si>
  <si>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</si>
  <si>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</si>
  <si>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</si>
  <si>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</si>
  <si>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</si>
  <si>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</si>
  <si>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</si>
  <si>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</si>
  <si>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</si>
  <si>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</si>
  <si>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</si>
  <si>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</si>
  <si>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</si>
  <si>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</si>
  <si>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</si>
  <si>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</si>
  <si>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</si>
  <si>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</si>
  <si>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</si>
  <si>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</si>
  <si>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</si>
  <si>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</si>
  <si>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</si>
  <si>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</si>
  <si>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</si>
  <si>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</si>
  <si>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</si>
  <si>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</si>
  <si>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</si>
  <si>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</si>
  <si>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</si>
  <si>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</si>
  <si>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</si>
  <si>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</si>
  <si>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</si>
  <si>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</si>
  <si>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</si>
  <si>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</si>
  <si>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</si>
  <si>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</si>
  <si>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</si>
  <si>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</si>
  <si>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</si>
  <si>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</si>
  <si>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</si>
  <si>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</si>
  <si>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</si>
  <si>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</si>
  <si>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</si>
  <si>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</si>
  <si>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</si>
  <si>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</si>
  <si>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</si>
  <si>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</si>
  <si>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</si>
  <si>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</si>
  <si>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</si>
  <si>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</si>
  <si>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</si>
  <si>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</si>
  <si>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</si>
  <si>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</si>
  <si>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</si>
  <si>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</si>
  <si>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</si>
  <si>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</si>
  <si>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</si>
  <si>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</si>
  <si>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</si>
  <si>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</si>
  <si>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</si>
  <si>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</si>
  <si>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</si>
  <si>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</si>
  <si>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</si>
  <si>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</si>
  <si>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</si>
  <si>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</si>
  <si>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</si>
  <si>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</si>
  <si>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</si>
  <si>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</si>
  <si>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</si>
  <si>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</si>
  <si>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</si>
  <si>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</si>
  <si>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Alisier Torminal</t>
  </si>
  <si>
    <t>Poirier sauvage</t>
  </si>
  <si>
    <t>Sorbier des Oiseleurs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</si>
</sst>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2" fillId="0" borderId="0" xfId="0" applyFont="1" applyProtection="1">
      <protection locked="0"/>
    </xf>
    <xf numFmtId="0" fontId="33" fillId="0" borderId="0" xfId="0" applyFont="1" applyProtection="1"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2.6341005567461218</c:v>
                </c:pt>
                <c:pt idx="2">
                  <c:v>3.0030706326443997</c:v>
                </c:pt>
                <c:pt idx="3">
                  <c:v>3.4239080063344987</c:v>
                </c:pt>
                <c:pt idx="4">
                  <c:v>3.9039282867893692</c:v>
                </c:pt>
                <c:pt idx="5">
                  <c:v>4.4514821499703841</c:v>
                </c:pt>
                <c:pt idx="6">
                  <c:v>5.0761022153212734</c:v>
                </c:pt>
                <c:pt idx="7">
                  <c:v>5.7886708203511725</c:v>
                </c:pt>
                <c:pt idx="8">
                  <c:v>6.6016116741370441</c:v>
                </c:pt>
                <c:pt idx="9">
                  <c:v>7.5291087967163621</c:v>
                </c:pt>
                <c:pt idx="10">
                  <c:v>8.587356638528723</c:v>
                </c:pt>
                <c:pt idx="11">
                  <c:v>9.7948458310618953</c:v>
                </c:pt>
                <c:pt idx="12">
                  <c:v>11.172689656685135</c:v>
                </c:pt>
                <c:pt idx="13">
                  <c:v>12.74499705377279</c:v>
                </c:pt>
                <c:pt idx="14">
                  <c:v>14.53929880574556</c:v>
                </c:pt>
                <c:pt idx="15">
                  <c:v>16.587034514582104</c:v>
                </c:pt>
                <c:pt idx="16">
                  <c:v>18.924109047835174</c:v>
                </c:pt>
                <c:pt idx="17">
                  <c:v>21.591528392847053</c:v>
                </c:pt>
                <c:pt idx="18">
                  <c:v>24.636126275147248</c:v>
                </c:pt>
                <c:pt idx="19">
                  <c:v>28.111394525609683</c:v>
                </c:pt>
                <c:pt idx="20">
                  <c:v>32.078432042224485</c:v>
                </c:pt>
                <c:pt idx="21">
                  <c:v>36.607029320906918</c:v>
                </c:pt>
                <c:pt idx="22">
                  <c:v>41.776907964071142</c:v>
                </c:pt>
                <c:pt idx="23">
                  <c:v>47.679137359724372</c:v>
                </c:pt>
                <c:pt idx="24">
                  <c:v>54.417753907911923</c:v>
                </c:pt>
                <c:pt idx="25">
                  <c:v>62.111611813038422</c:v>
                </c:pt>
                <c:pt idx="26">
                  <c:v>71.754709617860229</c:v>
                </c:pt>
                <c:pt idx="27">
                  <c:v>81.364584625387351</c:v>
                </c:pt>
                <c:pt idx="28">
                  <c:v>90.945724466949798</c:v>
                </c:pt>
                <c:pt idx="29">
                  <c:v>100.50158978060165</c:v>
                </c:pt>
                <c:pt idx="30">
                  <c:v>110.03492698401652</c:v>
                </c:pt>
                <c:pt idx="31">
                  <c:v>119.94393082981507</c:v>
                </c:pt>
                <c:pt idx="32">
                  <c:v>129.83298609190555</c:v>
                </c:pt>
                <c:pt idx="33">
                  <c:v>139.70382844505215</c:v>
                </c:pt>
                <c:pt idx="34">
                  <c:v>149.55792775717683</c:v>
                </c:pt>
                <c:pt idx="35">
                  <c:v>159.39654402501068</c:v>
                </c:pt>
                <c:pt idx="36">
                  <c:v>144.43580369901198</c:v>
                </c:pt>
                <c:pt idx="37">
                  <c:v>155.06938697591292</c:v>
                </c:pt>
                <c:pt idx="38">
                  <c:v>165.68564301412417</c:v>
                </c:pt>
                <c:pt idx="39">
                  <c:v>176.28583963282651</c:v>
                </c:pt>
                <c:pt idx="40">
                  <c:v>186.87107951156952</c:v>
                </c:pt>
                <c:pt idx="41">
                  <c:v>170.39875516780384</c:v>
                </c:pt>
                <c:pt idx="42">
                  <c:v>181.38424113596443</c:v>
                </c:pt>
                <c:pt idx="43">
                  <c:v>192.35415851868379</c:v>
                </c:pt>
                <c:pt idx="44">
                  <c:v>203.30952104980258</c:v>
                </c:pt>
                <c:pt idx="45">
                  <c:v>214.25122416862823</c:v>
                </c:pt>
                <c:pt idx="46">
                  <c:v>197.83360065109454</c:v>
                </c:pt>
                <c:pt idx="47">
                  <c:v>208.78202813507096</c:v>
                </c:pt>
                <c:pt idx="48">
                  <c:v>219.71720575536781</c:v>
                </c:pt>
                <c:pt idx="49">
                  <c:v>230.63988637237381</c:v>
                </c:pt>
                <c:pt idx="50">
                  <c:v>241.55074565033252</c:v>
                </c:pt>
                <c:pt idx="51">
                  <c:v>225.18006429243289</c:v>
                </c:pt>
                <c:pt idx="52">
                  <c:v>236.09675414607651</c:v>
                </c:pt>
                <c:pt idx="53">
                  <c:v>247.00193510423426</c:v>
                </c:pt>
                <c:pt idx="54">
                  <c:v>257.896187237346</c:v>
                </c:pt>
                <c:pt idx="55">
                  <c:v>268.780037569483</c:v>
                </c:pt>
                <c:pt idx="56">
                  <c:v>252.06130672849841</c:v>
                </c:pt>
                <c:pt idx="57">
                  <c:v>262.56193918616856</c:v>
                </c:pt>
                <c:pt idx="58">
                  <c:v>273.05309633794872</c:v>
                </c:pt>
                <c:pt idx="59">
                  <c:v>283.53519379457322</c:v>
                </c:pt>
                <c:pt idx="60">
                  <c:v>294.00861390700948</c:v>
                </c:pt>
                <c:pt idx="61">
                  <c:v>277.32465175371141</c:v>
                </c:pt>
                <c:pt idx="62">
                  <c:v>287.80316958954148</c:v>
                </c:pt>
                <c:pt idx="63">
                  <c:v>298.27315720720395</c:v>
                </c:pt>
                <c:pt idx="64">
                  <c:v>308.73495641743983</c:v>
                </c:pt>
                <c:pt idx="65">
                  <c:v>319.18888396087686</c:v>
                </c:pt>
                <c:pt idx="66">
                  <c:v>301.76131730306923</c:v>
                </c:pt>
                <c:pt idx="67">
                  <c:v>311.445977545365</c:v>
                </c:pt>
                <c:pt idx="68">
                  <c:v>321.12395650175074</c:v>
                </c:pt>
                <c:pt idx="69">
                  <c:v>330.79548404889391</c:v>
                </c:pt>
                <c:pt idx="70">
                  <c:v>340.46077551603139</c:v>
                </c:pt>
                <c:pt idx="71">
                  <c:v>323.0587710327315</c:v>
                </c:pt>
                <c:pt idx="72">
                  <c:v>332.72903457884451</c:v>
                </c:pt>
                <c:pt idx="73">
                  <c:v>342.393103483792</c:v>
                </c:pt>
                <c:pt idx="74">
                  <c:v>352.05117734371055</c:v>
                </c:pt>
                <c:pt idx="75">
                  <c:v>361.70344390352278</c:v>
                </c:pt>
                <c:pt idx="76">
                  <c:v>343.55238507891909</c:v>
                </c:pt>
                <c:pt idx="77">
                  <c:v>352.43737829470524</c:v>
                </c:pt>
                <c:pt idx="78">
                  <c:v>361.31746248867267</c:v>
                </c:pt>
                <c:pt idx="79">
                  <c:v>370.19277539866533</c:v>
                </c:pt>
                <c:pt idx="80">
                  <c:v>379.06344761508905</c:v>
                </c:pt>
                <c:pt idx="81">
                  <c:v>360.54547259299096</c:v>
                </c:pt>
                <c:pt idx="82">
                  <c:v>369.03539178839691</c:v>
                </c:pt>
                <c:pt idx="83">
                  <c:v>377.52104986809326</c:v>
                </c:pt>
                <c:pt idx="84">
                  <c:v>386.00255617832909</c:v>
                </c:pt>
                <c:pt idx="85">
                  <c:v>394.4800148650682</c:v>
                </c:pt>
                <c:pt idx="86">
                  <c:v>375.5928596226683</c:v>
                </c:pt>
                <c:pt idx="87">
                  <c:v>383.68982380189919</c:v>
                </c:pt>
                <c:pt idx="88">
                  <c:v>391.78307456466774</c:v>
                </c:pt>
                <c:pt idx="89">
                  <c:v>399.87269948886461</c:v>
                </c:pt>
                <c:pt idx="90">
                  <c:v>407.95878231757433</c:v>
                </c:pt>
                <c:pt idx="91">
                  <c:v>385.42440138687101</c:v>
                </c:pt>
                <c:pt idx="92">
                  <c:v>389.85644218478711</c:v>
                </c:pt>
                <c:pt idx="93">
                  <c:v>394.28738956429714</c:v>
                </c:pt>
                <c:pt idx="94">
                  <c:v>398.71725756160703</c:v>
                </c:pt>
                <c:pt idx="95">
                  <c:v>403.14605987521981</c:v>
                </c:pt>
                <c:pt idx="96">
                  <c:v>407.57380987776543</c:v>
                </c:pt>
                <c:pt idx="97">
                  <c:v>412.00052062728997</c:v>
                </c:pt>
                <c:pt idx="98">
                  <c:v>416.42620487803134</c:v>
                </c:pt>
                <c:pt idx="99">
                  <c:v>420.85087509071656</c:v>
                </c:pt>
                <c:pt idx="100">
                  <c:v>425.27454344239982</c:v>
                </c:pt>
                <c:pt idx="101">
                  <c:v>401.60572692602972</c:v>
                </c:pt>
                <c:pt idx="102">
                  <c:v>404.87878229670832</c:v>
                </c:pt>
                <c:pt idx="103">
                  <c:v>408.15126559335721</c:v>
                </c:pt>
                <c:pt idx="104">
                  <c:v>411.42318205612014</c:v>
                </c:pt>
                <c:pt idx="105">
                  <c:v>414.69453683488672</c:v>
                </c:pt>
                <c:pt idx="106">
                  <c:v>417.96533499156266</c:v>
                </c:pt>
                <c:pt idx="107">
                  <c:v>421.23558150226609</c:v>
                </c:pt>
                <c:pt idx="108">
                  <c:v>424.50528125945038</c:v>
                </c:pt>
                <c:pt idx="109">
                  <c:v>427.77443907396014</c:v>
                </c:pt>
                <c:pt idx="110">
                  <c:v>431.04305967701993</c:v>
                </c:pt>
                <c:pt idx="111">
                  <c:v>408.92117909368011</c:v>
                </c:pt>
                <c:pt idx="112">
                  <c:v>411.80807637868742</c:v>
                </c:pt>
                <c:pt idx="113">
                  <c:v>414.69453683488655</c:v>
                </c:pt>
                <c:pt idx="114">
                  <c:v>417.58056393601936</c:v>
                </c:pt>
                <c:pt idx="115">
                  <c:v>420.46616110382985</c:v>
                </c:pt>
                <c:pt idx="116">
                  <c:v>423.35133170920312</c:v>
                </c:pt>
                <c:pt idx="117">
                  <c:v>426.23607907326982</c:v>
                </c:pt>
                <c:pt idx="118">
                  <c:v>429.12040646848044</c:v>
                </c:pt>
                <c:pt idx="119">
                  <c:v>432.00431711964876</c:v>
                </c:pt>
                <c:pt idx="120">
                  <c:v>434.88781420496622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3.113945541916562</c:v>
                </c:pt>
                <c:pt idx="2">
                  <c:v>3.5503730087223722</c:v>
                </c:pt>
                <c:pt idx="3">
                  <c:v>4.0481828196530492</c:v>
                </c:pt>
                <c:pt idx="4">
                  <c:v>4.6160369143549937</c:v>
                </c:pt>
                <c:pt idx="5">
                  <c:v>5.2638233537442369</c:v>
                </c:pt>
                <c:pt idx="6">
                  <c:v>6.0028303815790593</c:v>
                </c:pt>
                <c:pt idx="7">
                  <c:v>6.8459452618662198</c:v>
                </c:pt>
                <c:pt idx="8">
                  <c:v>7.8078814273157144</c:v>
                </c:pt>
                <c:pt idx="9">
                  <c:v>8.9054379796212881</c:v>
                </c:pt>
                <c:pt idx="10">
                  <c:v>10.157796160352767</c:v>
                </c:pt>
                <c:pt idx="11">
                  <c:v>11.586858072102316</c:v>
                </c:pt>
                <c:pt idx="12">
                  <c:v>13.217633685126408</c:v>
                </c:pt>
                <c:pt idx="13">
                  <c:v>15.078683028676075</c:v>
                </c:pt>
                <c:pt idx="14">
                  <c:v>17.202621454074428</c:v>
                </c:pt>
                <c:pt idx="15">
                  <c:v>19.626696986187671</c:v>
                </c:pt>
                <c:pt idx="16">
                  <c:v>22.393450071609919</c:v>
                </c:pt>
                <c:pt idx="17">
                  <c:v>25.551467508941673</c:v>
                </c:pt>
                <c:pt idx="18">
                  <c:v>29.156244035638881</c:v>
                </c:pt>
                <c:pt idx="19">
                  <c:v>33.271166977534087</c:v>
                </c:pt>
                <c:pt idx="20">
                  <c:v>37.968641576163897</c:v>
                </c:pt>
                <c:pt idx="21">
                  <c:v>43.331377135382525</c:v>
                </c:pt>
                <c:pt idx="22">
                  <c:v>49.453857018052851</c:v>
                </c:pt>
                <c:pt idx="23">
                  <c:v>56.444018828116505</c:v>
                </c:pt>
                <c:pt idx="24">
                  <c:v>64.425174892809764</c:v>
                </c:pt>
                <c:pt idx="25">
                  <c:v>73.538207482585321</c:v>
                </c:pt>
                <c:pt idx="26">
                  <c:v>84.960675105658922</c:v>
                </c:pt>
                <c:pt idx="27">
                  <c:v>96.34440998362345</c:v>
                </c:pt>
                <c:pt idx="28">
                  <c:v>107.69464401429015</c:v>
                </c:pt>
                <c:pt idx="29">
                  <c:v>119.01541177700146</c:v>
                </c:pt>
                <c:pt idx="30">
                  <c:v>130.30991517841116</c:v>
                </c:pt>
                <c:pt idx="31">
                  <c:v>142.04989216192442</c:v>
                </c:pt>
                <c:pt idx="32">
                  <c:v>153.76661212101567</c:v>
                </c:pt>
                <c:pt idx="33">
                  <c:v>165.46209858933358</c:v>
                </c:pt>
                <c:pt idx="34">
                  <c:v>177.13806521004514</c:v>
                </c:pt>
                <c:pt idx="35">
                  <c:v>188.79598094832463</c:v>
                </c:pt>
                <c:pt idx="36">
                  <c:v>171.06890310603498</c:v>
                </c:pt>
                <c:pt idx="37">
                  <c:v>183.6686363162344</c:v>
                </c:pt>
                <c:pt idx="38">
                  <c:v>196.24816859291039</c:v>
                </c:pt>
                <c:pt idx="39">
                  <c:v>208.80897802102797</c:v>
                </c:pt>
                <c:pt idx="40">
                  <c:v>221.35235015777684</c:v>
                </c:pt>
                <c:pt idx="41">
                  <c:v>201.83298159430865</c:v>
                </c:pt>
                <c:pt idx="42">
                  <c:v>214.85048322218776</c:v>
                </c:pt>
                <c:pt idx="43">
                  <c:v>227.84983423962134</c:v>
                </c:pt>
                <c:pt idx="44">
                  <c:v>240.83221650658706</c:v>
                </c:pt>
                <c:pt idx="45">
                  <c:v>253.79867396956936</c:v>
                </c:pt>
                <c:pt idx="46">
                  <c:v>234.34307827690756</c:v>
                </c:pt>
                <c:pt idx="47">
                  <c:v>247.31737533025003</c:v>
                </c:pt>
                <c:pt idx="48">
                  <c:v>260.2762250512057</c:v>
                </c:pt>
                <c:pt idx="49">
                  <c:v>273.220505160855</c:v>
                </c:pt>
                <c:pt idx="50">
                  <c:v>286.1510033812761</c:v>
                </c:pt>
                <c:pt idx="51">
                  <c:v>266.75013513037203</c:v>
                </c:pt>
                <c:pt idx="52">
                  <c:v>279.68743091813337</c:v>
                </c:pt>
                <c:pt idx="53">
                  <c:v>292.61130907849321</c:v>
                </c:pt>
                <c:pt idx="54">
                  <c:v>305.52244588564616</c:v>
                </c:pt>
                <c:pt idx="55">
                  <c:v>318.42145576976316</c:v>
                </c:pt>
                <c:pt idx="56">
                  <c:v>298.60731135776933</c:v>
                </c:pt>
                <c:pt idx="57">
                  <c:v>311.05204406793172</c:v>
                </c:pt>
                <c:pt idx="58">
                  <c:v>323.48573000787144</c:v>
                </c:pt>
                <c:pt idx="59">
                  <c:v>335.90885371669856</c:v>
                </c:pt>
                <c:pt idx="60">
                  <c:v>348.32186095767742</c:v>
                </c:pt>
                <c:pt idx="61">
                  <c:v>328.54825156463437</c:v>
                </c:pt>
                <c:pt idx="62">
                  <c:v>340.96720197828142</c:v>
                </c:pt>
                <c:pt idx="63">
                  <c:v>353.37620745071621</c:v>
                </c:pt>
                <c:pt idx="64">
                  <c:v>365.77566648144415</c:v>
                </c:pt>
                <c:pt idx="65">
                  <c:v>378.1659483420201</c:v>
                </c:pt>
                <c:pt idx="66">
                  <c:v>357.51040237087665</c:v>
                </c:pt>
                <c:pt idx="67">
                  <c:v>368.98882872292899</c:v>
                </c:pt>
                <c:pt idx="68">
                  <c:v>380.45946570848531</c:v>
                </c:pt>
                <c:pt idx="69">
                  <c:v>391.92258132889066</c:v>
                </c:pt>
                <c:pt idx="70">
                  <c:v>403.3784266253918</c:v>
                </c:pt>
                <c:pt idx="71">
                  <c:v>382.75268227452915</c:v>
                </c:pt>
                <c:pt idx="72">
                  <c:v>394.21432426135442</c:v>
                </c:pt>
                <c:pt idx="73">
                  <c:v>405.66874423568089</c:v>
                </c:pt>
                <c:pt idx="74">
                  <c:v>417.1161748963454</c:v>
                </c:pt>
                <c:pt idx="75">
                  <c:v>428.55683512546557</c:v>
                </c:pt>
                <c:pt idx="76">
                  <c:v>407.04280051298912</c:v>
                </c:pt>
                <c:pt idx="77">
                  <c:v>417.57392988530063</c:v>
                </c:pt>
                <c:pt idx="78">
                  <c:v>428.09933608237338</c:v>
                </c:pt>
                <c:pt idx="79">
                  <c:v>438.61917968565263</c:v>
                </c:pt>
                <c:pt idx="80">
                  <c:v>449.1336129437538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2.808913523269716</c:v>
                </c:pt>
                <c:pt idx="2">
                  <c:v>3.2024549307028356</c:v>
                </c:pt>
                <c:pt idx="3">
                  <c:v>3.6513289373607773</c:v>
                </c:pt>
                <c:pt idx="4">
                  <c:v>4.1633414020375676</c:v>
                </c:pt>
                <c:pt idx="5">
                  <c:v>4.7474028110253315</c:v>
                </c:pt>
                <c:pt idx="6">
                  <c:v>5.4136850511054888</c:v>
                </c:pt>
                <c:pt idx="7">
                  <c:v>6.1738004921248475</c:v>
                </c:pt>
                <c:pt idx="8">
                  <c:v>7.04100656176103</c:v>
                </c:pt>
                <c:pt idx="9">
                  <c:v>8.0304394501257814</c:v>
                </c:pt>
                <c:pt idx="10">
                  <c:v>9.1593811020942599</c:v>
                </c:pt>
                <c:pt idx="11">
                  <c:v>10.44756425004144</c:v>
                </c:pt>
                <c:pt idx="12">
                  <c:v>11.917520919716907</c:v>
                </c:pt>
                <c:pt idx="13">
                  <c:v>13.594980619539625</c:v>
                </c:pt>
                <c:pt idx="14">
                  <c:v>15.509325312648487</c:v>
                </c:pt>
                <c:pt idx="15">
                  <c:v>17.694109287621362</c:v>
                </c:pt>
                <c:pt idx="16">
                  <c:v>20.187653206198199</c:v>
                </c:pt>
                <c:pt idx="17">
                  <c:v>23.033722935573341</c:v>
                </c:pt>
                <c:pt idx="18">
                  <c:v>26.282305292835535</c:v>
                </c:pt>
                <c:pt idx="19">
                  <c:v>29.990494567361733</c:v>
                </c:pt>
                <c:pt idx="20">
                  <c:v>34.223505674790481</c:v>
                </c:pt>
                <c:pt idx="21">
                  <c:v>39.055832069512576</c:v>
                </c:pt>
                <c:pt idx="22">
                  <c:v>44.572569142487318</c:v>
                </c:pt>
                <c:pt idx="23">
                  <c:v>50.870926804611692</c:v>
                </c:pt>
                <c:pt idx="24">
                  <c:v>58.061958356588072</c:v>
                </c:pt>
                <c:pt idx="25">
                  <c:v>66.272536635761469</c:v>
                </c:pt>
                <c:pt idx="26">
                  <c:v>76.563490652949312</c:v>
                </c:pt>
                <c:pt idx="27">
                  <c:v>86.819205269098731</c:v>
                </c:pt>
                <c:pt idx="28">
                  <c:v>97.044440512052844</c:v>
                </c:pt>
                <c:pt idx="29">
                  <c:v>107.2428670785069</c:v>
                </c:pt>
                <c:pt idx="30">
                  <c:v>117.41739809202973</c:v>
                </c:pt>
                <c:pt idx="31">
                  <c:v>127.99300373621668</c:v>
                </c:pt>
                <c:pt idx="32">
                  <c:v>138.54744992970467</c:v>
                </c:pt>
                <c:pt idx="33">
                  <c:v>149.0825777016685</c:v>
                </c:pt>
                <c:pt idx="34">
                  <c:v>159.59994614012587</c:v>
                </c:pt>
                <c:pt idx="35">
                  <c:v>170.1008917228489</c:v>
                </c:pt>
                <c:pt idx="36">
                  <c:v>154.13304399541357</c:v>
                </c:pt>
                <c:pt idx="37">
                  <c:v>165.48242110449394</c:v>
                </c:pt>
                <c:pt idx="38">
                  <c:v>176.81341922195415</c:v>
                </c:pt>
                <c:pt idx="39">
                  <c:v>188.1273831228342</c:v>
                </c:pt>
                <c:pt idx="40">
                  <c:v>199.42548241866663</c:v>
                </c:pt>
                <c:pt idx="41">
                  <c:v>181.84387743661719</c:v>
                </c:pt>
                <c:pt idx="42">
                  <c:v>193.56912276774736</c:v>
                </c:pt>
                <c:pt idx="43">
                  <c:v>205.2778545096966</c:v>
                </c:pt>
                <c:pt idx="44">
                  <c:v>216.97114792933803</c:v>
                </c:pt>
                <c:pt idx="45">
                  <c:v>228.64995281860425</c:v>
                </c:pt>
                <c:pt idx="46">
                  <c:v>211.12636896992379</c:v>
                </c:pt>
                <c:pt idx="47">
                  <c:v>222.81230638924691</c:v>
                </c:pt>
                <c:pt idx="48">
                  <c:v>234.48418968616227</c:v>
                </c:pt>
                <c:pt idx="49">
                  <c:v>246.14281741922969</c:v>
                </c:pt>
                <c:pt idx="50">
                  <c:v>257.78890626510457</c:v>
                </c:pt>
                <c:pt idx="51">
                  <c:v>240.31511393681535</c:v>
                </c:pt>
                <c:pt idx="52">
                  <c:v>251.96738727080017</c:v>
                </c:pt>
                <c:pt idx="53">
                  <c:v>263.60745312628939</c:v>
                </c:pt>
                <c:pt idx="54">
                  <c:v>275.23592678364861</c:v>
                </c:pt>
                <c:pt idx="55">
                  <c:v>286.85336725699193</c:v>
                </c:pt>
                <c:pt idx="56">
                  <c:v>269.0077938022381</c:v>
                </c:pt>
                <c:pt idx="57">
                  <c:v>280.21615005760447</c:v>
                </c:pt>
                <c:pt idx="58">
                  <c:v>291.41445586173216</c:v>
                </c:pt>
                <c:pt idx="59">
                  <c:v>302.60315205267631</c:v>
                </c:pt>
                <c:pt idx="60">
                  <c:v>313.78264418987732</c:v>
                </c:pt>
                <c:pt idx="61">
                  <c:v>295.97394986116763</c:v>
                </c:pt>
                <c:pt idx="62">
                  <c:v>307.15884915049543</c:v>
                </c:pt>
                <c:pt idx="63">
                  <c:v>318.33470044256177</c:v>
                </c:pt>
                <c:pt idx="64">
                  <c:v>329.50186629581282</c:v>
                </c:pt>
                <c:pt idx="65">
                  <c:v>340.66068267684119</c:v>
                </c:pt>
                <c:pt idx="66">
                  <c:v>322.05803699935797</c:v>
                </c:pt>
                <c:pt idx="67">
                  <c:v>332.39568151871464</c:v>
                </c:pt>
                <c:pt idx="68">
                  <c:v>342.7262392021392</c:v>
                </c:pt>
                <c:pt idx="69">
                  <c:v>353.04995387967392</c:v>
                </c:pt>
                <c:pt idx="70">
                  <c:v>363.3670539509107</c:v>
                </c:pt>
                <c:pt idx="71">
                  <c:v>344.79152205649939</c:v>
                </c:pt>
                <c:pt idx="72">
                  <c:v>355.11389600890431</c:v>
                </c:pt>
                <c:pt idx="73">
                  <c:v>365.42969930916388</c:v>
                </c:pt>
                <c:pt idx="74">
                  <c:v>375.7391436687796</c:v>
                </c:pt>
                <c:pt idx="75">
                  <c:v>386.04242822867764</c:v>
                </c:pt>
                <c:pt idx="76">
                  <c:v>366.66716434689437</c:v>
                </c:pt>
                <c:pt idx="77">
                  <c:v>376.15139203422933</c:v>
                </c:pt>
                <c:pt idx="78">
                  <c:v>385.630412725084</c:v>
                </c:pt>
                <c:pt idx="79">
                  <c:v>395.10437251790654</c:v>
                </c:pt>
                <c:pt idx="80">
                  <c:v>404.57340992986127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2.6341005567461218</c:v>
                </c:pt>
                <c:pt idx="2">
                  <c:v>3.0030706326443997</c:v>
                </c:pt>
                <c:pt idx="3">
                  <c:v>3.4239080063344987</c:v>
                </c:pt>
                <c:pt idx="4">
                  <c:v>3.9039282867893692</c:v>
                </c:pt>
                <c:pt idx="5">
                  <c:v>4.4514821499703841</c:v>
                </c:pt>
                <c:pt idx="6">
                  <c:v>5.0761022153212734</c:v>
                </c:pt>
                <c:pt idx="7">
                  <c:v>5.7886708203511725</c:v>
                </c:pt>
                <c:pt idx="8">
                  <c:v>6.6016116741370441</c:v>
                </c:pt>
                <c:pt idx="9">
                  <c:v>7.5291087967163621</c:v>
                </c:pt>
                <c:pt idx="10">
                  <c:v>8.587356638528723</c:v>
                </c:pt>
                <c:pt idx="11">
                  <c:v>9.7948458310618953</c:v>
                </c:pt>
                <c:pt idx="12">
                  <c:v>11.172689656685135</c:v>
                </c:pt>
                <c:pt idx="13">
                  <c:v>12.74499705377279</c:v>
                </c:pt>
                <c:pt idx="14">
                  <c:v>14.53929880574556</c:v>
                </c:pt>
                <c:pt idx="15">
                  <c:v>16.587034514582104</c:v>
                </c:pt>
                <c:pt idx="16">
                  <c:v>18.924109047835174</c:v>
                </c:pt>
                <c:pt idx="17">
                  <c:v>21.591528392847053</c:v>
                </c:pt>
                <c:pt idx="18">
                  <c:v>24.636126275147248</c:v>
                </c:pt>
                <c:pt idx="19">
                  <c:v>28.111394525609683</c:v>
                </c:pt>
                <c:pt idx="20">
                  <c:v>32.078432042224485</c:v>
                </c:pt>
                <c:pt idx="21">
                  <c:v>36.607029320906918</c:v>
                </c:pt>
                <c:pt idx="22">
                  <c:v>41.776907964071142</c:v>
                </c:pt>
                <c:pt idx="23">
                  <c:v>47.679137359724372</c:v>
                </c:pt>
                <c:pt idx="24">
                  <c:v>54.417753907911923</c:v>
                </c:pt>
                <c:pt idx="25">
                  <c:v>62.111611813038422</c:v>
                </c:pt>
                <c:pt idx="26">
                  <c:v>71.754709617860229</c:v>
                </c:pt>
                <c:pt idx="27">
                  <c:v>81.364584625387351</c:v>
                </c:pt>
                <c:pt idx="28">
                  <c:v>90.945724466949798</c:v>
                </c:pt>
                <c:pt idx="29">
                  <c:v>100.50158978060165</c:v>
                </c:pt>
                <c:pt idx="30">
                  <c:v>110.03492698401652</c:v>
                </c:pt>
                <c:pt idx="31">
                  <c:v>119.94393082981507</c:v>
                </c:pt>
                <c:pt idx="32">
                  <c:v>129.83298609190555</c:v>
                </c:pt>
                <c:pt idx="33">
                  <c:v>139.70382844505215</c:v>
                </c:pt>
                <c:pt idx="34">
                  <c:v>149.55792775717683</c:v>
                </c:pt>
                <c:pt idx="35">
                  <c:v>159.39654402501068</c:v>
                </c:pt>
                <c:pt idx="36">
                  <c:v>144.43580369901198</c:v>
                </c:pt>
                <c:pt idx="37">
                  <c:v>155.06938697591292</c:v>
                </c:pt>
                <c:pt idx="38">
                  <c:v>165.68564301412417</c:v>
                </c:pt>
                <c:pt idx="39">
                  <c:v>176.28583963282651</c:v>
                </c:pt>
                <c:pt idx="40">
                  <c:v>186.87107951156952</c:v>
                </c:pt>
                <c:pt idx="41">
                  <c:v>170.39875516780384</c:v>
                </c:pt>
                <c:pt idx="42">
                  <c:v>181.38424113596443</c:v>
                </c:pt>
                <c:pt idx="43">
                  <c:v>192.35415851868379</c:v>
                </c:pt>
                <c:pt idx="44">
                  <c:v>203.30952104980258</c:v>
                </c:pt>
                <c:pt idx="45">
                  <c:v>214.25122416862823</c:v>
                </c:pt>
                <c:pt idx="46">
                  <c:v>197.83360065109454</c:v>
                </c:pt>
                <c:pt idx="47">
                  <c:v>208.78202813507096</c:v>
                </c:pt>
                <c:pt idx="48">
                  <c:v>219.71720575536781</c:v>
                </c:pt>
                <c:pt idx="49">
                  <c:v>230.63988637237381</c:v>
                </c:pt>
                <c:pt idx="50">
                  <c:v>241.55074565033252</c:v>
                </c:pt>
                <c:pt idx="51">
                  <c:v>225.18006429243289</c:v>
                </c:pt>
                <c:pt idx="52">
                  <c:v>236.09675414607651</c:v>
                </c:pt>
                <c:pt idx="53">
                  <c:v>247.00193510423426</c:v>
                </c:pt>
                <c:pt idx="54">
                  <c:v>257.896187237346</c:v>
                </c:pt>
                <c:pt idx="55">
                  <c:v>268.780037569483</c:v>
                </c:pt>
                <c:pt idx="56">
                  <c:v>252.06130672849841</c:v>
                </c:pt>
                <c:pt idx="57">
                  <c:v>262.56193918616856</c:v>
                </c:pt>
                <c:pt idx="58">
                  <c:v>273.05309633794872</c:v>
                </c:pt>
                <c:pt idx="59">
                  <c:v>283.53519379457322</c:v>
                </c:pt>
                <c:pt idx="60">
                  <c:v>294.00861390700948</c:v>
                </c:pt>
                <c:pt idx="61">
                  <c:v>277.32465175371141</c:v>
                </c:pt>
                <c:pt idx="62">
                  <c:v>287.80316958954148</c:v>
                </c:pt>
                <c:pt idx="63">
                  <c:v>298.27315720720395</c:v>
                </c:pt>
                <c:pt idx="64">
                  <c:v>308.73495641743983</c:v>
                </c:pt>
                <c:pt idx="65">
                  <c:v>319.18888396087686</c:v>
                </c:pt>
                <c:pt idx="66">
                  <c:v>301.76131730306923</c:v>
                </c:pt>
                <c:pt idx="67">
                  <c:v>311.445977545365</c:v>
                </c:pt>
                <c:pt idx="68">
                  <c:v>321.12395650175074</c:v>
                </c:pt>
                <c:pt idx="69">
                  <c:v>330.79548404889391</c:v>
                </c:pt>
                <c:pt idx="70">
                  <c:v>340.46077551603139</c:v>
                </c:pt>
                <c:pt idx="71">
                  <c:v>323.0587710327315</c:v>
                </c:pt>
                <c:pt idx="72">
                  <c:v>332.72903457884451</c:v>
                </c:pt>
                <c:pt idx="73">
                  <c:v>342.393103483792</c:v>
                </c:pt>
                <c:pt idx="74">
                  <c:v>352.05117734371055</c:v>
                </c:pt>
                <c:pt idx="75">
                  <c:v>361.70344390352278</c:v>
                </c:pt>
                <c:pt idx="76">
                  <c:v>343.55238507891909</c:v>
                </c:pt>
                <c:pt idx="77">
                  <c:v>352.43737829470524</c:v>
                </c:pt>
                <c:pt idx="78">
                  <c:v>361.31746248867267</c:v>
                </c:pt>
                <c:pt idx="79">
                  <c:v>370.19277539866533</c:v>
                </c:pt>
                <c:pt idx="80">
                  <c:v>379.06344761508905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3.113945541916562</c:v>
                </c:pt>
                <c:pt idx="2">
                  <c:v>3.5503730087223722</c:v>
                </c:pt>
                <c:pt idx="3">
                  <c:v>4.0481828196530492</c:v>
                </c:pt>
                <c:pt idx="4">
                  <c:v>4.6160369143549937</c:v>
                </c:pt>
                <c:pt idx="5">
                  <c:v>5.2638233537442369</c:v>
                </c:pt>
                <c:pt idx="6">
                  <c:v>6.0028303815790593</c:v>
                </c:pt>
                <c:pt idx="7">
                  <c:v>6.8459452618662198</c:v>
                </c:pt>
                <c:pt idx="8">
                  <c:v>7.8078814273157144</c:v>
                </c:pt>
                <c:pt idx="9">
                  <c:v>8.9054379796212881</c:v>
                </c:pt>
                <c:pt idx="10">
                  <c:v>10.157796160352767</c:v>
                </c:pt>
                <c:pt idx="11">
                  <c:v>11.586858072102316</c:v>
                </c:pt>
                <c:pt idx="12">
                  <c:v>13.217633685126408</c:v>
                </c:pt>
                <c:pt idx="13">
                  <c:v>15.078683028676075</c:v>
                </c:pt>
                <c:pt idx="14">
                  <c:v>17.202621454074428</c:v>
                </c:pt>
                <c:pt idx="15">
                  <c:v>19.626696986187671</c:v>
                </c:pt>
                <c:pt idx="16">
                  <c:v>22.393450071609919</c:v>
                </c:pt>
                <c:pt idx="17">
                  <c:v>25.551467508941673</c:v>
                </c:pt>
                <c:pt idx="18">
                  <c:v>29.156244035638881</c:v>
                </c:pt>
                <c:pt idx="19">
                  <c:v>33.271166977534087</c:v>
                </c:pt>
                <c:pt idx="20">
                  <c:v>37.968641576163897</c:v>
                </c:pt>
                <c:pt idx="21">
                  <c:v>43.331377135382525</c:v>
                </c:pt>
                <c:pt idx="22">
                  <c:v>49.453857018052851</c:v>
                </c:pt>
                <c:pt idx="23">
                  <c:v>56.444018828116505</c:v>
                </c:pt>
                <c:pt idx="24">
                  <c:v>64.425174892809764</c:v>
                </c:pt>
                <c:pt idx="25">
                  <c:v>73.538207482585321</c:v>
                </c:pt>
                <c:pt idx="26">
                  <c:v>84.960675105658922</c:v>
                </c:pt>
                <c:pt idx="27">
                  <c:v>96.34440998362345</c:v>
                </c:pt>
                <c:pt idx="28">
                  <c:v>107.69464401429015</c:v>
                </c:pt>
                <c:pt idx="29">
                  <c:v>119.01541177700146</c:v>
                </c:pt>
                <c:pt idx="30">
                  <c:v>130.30991517841116</c:v>
                </c:pt>
                <c:pt idx="31">
                  <c:v>142.04989216192442</c:v>
                </c:pt>
                <c:pt idx="32">
                  <c:v>153.76661212101567</c:v>
                </c:pt>
                <c:pt idx="33">
                  <c:v>165.46209858933358</c:v>
                </c:pt>
                <c:pt idx="34">
                  <c:v>177.13806521004514</c:v>
                </c:pt>
                <c:pt idx="35">
                  <c:v>188.79598094832463</c:v>
                </c:pt>
                <c:pt idx="36">
                  <c:v>171.06890310603498</c:v>
                </c:pt>
                <c:pt idx="37">
                  <c:v>183.6686363162344</c:v>
                </c:pt>
                <c:pt idx="38">
                  <c:v>196.24816859291039</c:v>
                </c:pt>
                <c:pt idx="39">
                  <c:v>208.80897802102797</c:v>
                </c:pt>
                <c:pt idx="40">
                  <c:v>221.35235015777684</c:v>
                </c:pt>
                <c:pt idx="41">
                  <c:v>201.83298159430865</c:v>
                </c:pt>
                <c:pt idx="42">
                  <c:v>214.85048322218776</c:v>
                </c:pt>
                <c:pt idx="43">
                  <c:v>227.84983423962134</c:v>
                </c:pt>
                <c:pt idx="44">
                  <c:v>240.83221650658706</c:v>
                </c:pt>
                <c:pt idx="45">
                  <c:v>253.79867396956936</c:v>
                </c:pt>
                <c:pt idx="46">
                  <c:v>234.34307827690756</c:v>
                </c:pt>
                <c:pt idx="47">
                  <c:v>247.31737533025003</c:v>
                </c:pt>
                <c:pt idx="48">
                  <c:v>260.2762250512057</c:v>
                </c:pt>
                <c:pt idx="49">
                  <c:v>273.220505160855</c:v>
                </c:pt>
                <c:pt idx="50">
                  <c:v>286.1510033812761</c:v>
                </c:pt>
                <c:pt idx="51">
                  <c:v>266.75013513037203</c:v>
                </c:pt>
                <c:pt idx="52">
                  <c:v>279.68743091813337</c:v>
                </c:pt>
                <c:pt idx="53">
                  <c:v>292.61130907849321</c:v>
                </c:pt>
                <c:pt idx="54">
                  <c:v>305.52244588564616</c:v>
                </c:pt>
                <c:pt idx="55">
                  <c:v>318.42145576976316</c:v>
                </c:pt>
                <c:pt idx="56">
                  <c:v>298.60731135776933</c:v>
                </c:pt>
                <c:pt idx="57">
                  <c:v>311.05204406793172</c:v>
                </c:pt>
                <c:pt idx="58">
                  <c:v>323.48573000787144</c:v>
                </c:pt>
                <c:pt idx="59">
                  <c:v>335.90885371669856</c:v>
                </c:pt>
                <c:pt idx="60">
                  <c:v>348.32186095767742</c:v>
                </c:pt>
                <c:pt idx="61">
                  <c:v>328.54825156463437</c:v>
                </c:pt>
                <c:pt idx="62">
                  <c:v>340.96720197828142</c:v>
                </c:pt>
                <c:pt idx="63">
                  <c:v>353.37620745071621</c:v>
                </c:pt>
                <c:pt idx="64">
                  <c:v>365.77566648144415</c:v>
                </c:pt>
                <c:pt idx="65">
                  <c:v>378.1659483420201</c:v>
                </c:pt>
                <c:pt idx="66">
                  <c:v>357.51040237087665</c:v>
                </c:pt>
                <c:pt idx="67">
                  <c:v>368.98882872292899</c:v>
                </c:pt>
                <c:pt idx="68">
                  <c:v>380.45946570848531</c:v>
                </c:pt>
                <c:pt idx="69">
                  <c:v>391.92258132889066</c:v>
                </c:pt>
                <c:pt idx="70">
                  <c:v>403.3784266253918</c:v>
                </c:pt>
                <c:pt idx="71">
                  <c:v>382.75268227452915</c:v>
                </c:pt>
                <c:pt idx="72">
                  <c:v>394.21432426135442</c:v>
                </c:pt>
                <c:pt idx="73">
                  <c:v>405.66874423568089</c:v>
                </c:pt>
                <c:pt idx="74">
                  <c:v>417.1161748963454</c:v>
                </c:pt>
                <c:pt idx="75">
                  <c:v>428.55683512546557</c:v>
                </c:pt>
                <c:pt idx="76">
                  <c:v>407.04280051298912</c:v>
                </c:pt>
                <c:pt idx="77">
                  <c:v>417.57392988530063</c:v>
                </c:pt>
                <c:pt idx="78">
                  <c:v>428.09933608237338</c:v>
                </c:pt>
                <c:pt idx="79">
                  <c:v>438.61917968565263</c:v>
                </c:pt>
                <c:pt idx="80">
                  <c:v>449.1336129437538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2.0103287982609221</c:v>
                </c:pt>
                <c:pt idx="2">
                  <c:v>2.6060892570454466</c:v>
                </c:pt>
                <c:pt idx="3">
                  <c:v>3.3791205981056223</c:v>
                </c:pt>
                <c:pt idx="4">
                  <c:v>4.3823718656892181</c:v>
                </c:pt>
                <c:pt idx="5">
                  <c:v>5.684663761141354</c:v>
                </c:pt>
                <c:pt idx="6">
                  <c:v>7.3754619086735183</c:v>
                </c:pt>
                <c:pt idx="7">
                  <c:v>9.5710899925120358</c:v>
                </c:pt>
                <c:pt idx="8">
                  <c:v>12.422818311323612</c:v>
                </c:pt>
                <c:pt idx="9">
                  <c:v>16.127395375881125</c:v>
                </c:pt>
                <c:pt idx="10">
                  <c:v>20.940762400827264</c:v>
                </c:pt>
                <c:pt idx="11">
                  <c:v>27.195915137912309</c:v>
                </c:pt>
                <c:pt idx="12">
                  <c:v>35.326170423757155</c:v>
                </c:pt>
                <c:pt idx="13">
                  <c:v>45.895476898516826</c:v>
                </c:pt>
                <c:pt idx="14">
                  <c:v>59.637907781469067</c:v>
                </c:pt>
                <c:pt idx="15">
                  <c:v>77.509123859564752</c:v>
                </c:pt>
                <c:pt idx="16">
                  <c:v>94.66015539957867</c:v>
                </c:pt>
                <c:pt idx="17">
                  <c:v>111.73348684590691</c:v>
                </c:pt>
                <c:pt idx="18">
                  <c:v>128.74270297836009</c:v>
                </c:pt>
                <c:pt idx="19">
                  <c:v>145.69748442995333</c:v>
                </c:pt>
                <c:pt idx="20">
                  <c:v>162.60506557753638</c:v>
                </c:pt>
                <c:pt idx="21">
                  <c:v>152.72601307009882</c:v>
                </c:pt>
                <c:pt idx="22">
                  <c:v>172.72934057335951</c:v>
                </c:pt>
                <c:pt idx="23">
                  <c:v>192.67816640336261</c:v>
                </c:pt>
                <c:pt idx="24">
                  <c:v>212.5789297342011</c:v>
                </c:pt>
                <c:pt idx="25">
                  <c:v>232.43676367300134</c:v>
                </c:pt>
                <c:pt idx="26">
                  <c:v>199.1444513476257</c:v>
                </c:pt>
                <c:pt idx="27">
                  <c:v>220.06265042528548</c:v>
                </c:pt>
                <c:pt idx="28">
                  <c:v>240.93518629239611</c:v>
                </c:pt>
                <c:pt idx="29">
                  <c:v>261.76657078667432</c:v>
                </c:pt>
                <c:pt idx="30">
                  <c:v>282.56053853494785</c:v>
                </c:pt>
                <c:pt idx="31">
                  <c:v>249.68400503471705</c:v>
                </c:pt>
                <c:pt idx="32">
                  <c:v>270.75601350883971</c:v>
                </c:pt>
                <c:pt idx="33">
                  <c:v>291.79113098496725</c:v>
                </c:pt>
                <c:pt idx="34">
                  <c:v>312.79238991915594</c:v>
                </c:pt>
                <c:pt idx="35">
                  <c:v>333.76238230119105</c:v>
                </c:pt>
                <c:pt idx="36">
                  <c:v>300.75906487667152</c:v>
                </c:pt>
                <c:pt idx="37">
                  <c:v>321.49092385733064</c:v>
                </c:pt>
                <c:pt idx="38">
                  <c:v>342.19321863218693</c:v>
                </c:pt>
                <c:pt idx="39">
                  <c:v>362.86798845598605</c:v>
                </c:pt>
                <c:pt idx="40">
                  <c:v>383.51702130873826</c:v>
                </c:pt>
                <c:pt idx="41">
                  <c:v>349.59836202746737</c:v>
                </c:pt>
                <c:pt idx="42">
                  <c:v>369.24381536730135</c:v>
                </c:pt>
                <c:pt idx="43">
                  <c:v>388.86647144917623</c:v>
                </c:pt>
                <c:pt idx="44">
                  <c:v>408.46764188924226</c:v>
                </c:pt>
                <c:pt idx="45">
                  <c:v>428.04850220658614</c:v>
                </c:pt>
                <c:pt idx="46">
                  <c:v>392.94116952468863</c:v>
                </c:pt>
                <c:pt idx="47">
                  <c:v>411.26612524340595</c:v>
                </c:pt>
                <c:pt idx="48">
                  <c:v>429.5734620875748</c:v>
                </c:pt>
                <c:pt idx="49">
                  <c:v>447.86403623255546</c:v>
                </c:pt>
                <c:pt idx="50">
                  <c:v>466.13862825055838</c:v>
                </c:pt>
                <c:pt idx="51">
                  <c:v>432.11480353422752</c:v>
                </c:pt>
                <c:pt idx="52">
                  <c:v>448.87970375338074</c:v>
                </c:pt>
                <c:pt idx="53">
                  <c:v>465.63121002118237</c:v>
                </c:pt>
                <c:pt idx="54">
                  <c:v>482.36987183006198</c:v>
                </c:pt>
                <c:pt idx="55">
                  <c:v>499.09619744323066</c:v>
                </c:pt>
                <c:pt idx="56">
                  <c:v>471.71945469929392</c:v>
                </c:pt>
                <c:pt idx="57">
                  <c:v>487.43973576580606</c:v>
                </c:pt>
                <c:pt idx="58">
                  <c:v>503.14926026454168</c:v>
                </c:pt>
                <c:pt idx="59">
                  <c:v>518.84841119879445</c:v>
                </c:pt>
                <c:pt idx="60">
                  <c:v>534.5375465142705</c:v>
                </c:pt>
                <c:pt idx="61">
                  <c:v>511.00010949725942</c:v>
                </c:pt>
                <c:pt idx="62">
                  <c:v>525.42892558905544</c:v>
                </c:pt>
                <c:pt idx="63">
                  <c:v>539.84939763658917</c:v>
                </c:pt>
                <c:pt idx="64">
                  <c:v>554.26177984010576</c:v>
                </c:pt>
                <c:pt idx="65">
                  <c:v>568.66631210732578</c:v>
                </c:pt>
                <c:pt idx="66">
                  <c:v>548.44721509505109</c:v>
                </c:pt>
                <c:pt idx="67">
                  <c:v>561.0859436787116</c:v>
                </c:pt>
                <c:pt idx="68">
                  <c:v>573.71871604099454</c:v>
                </c:pt>
                <c:pt idx="69">
                  <c:v>586.34568177540336</c:v>
                </c:pt>
                <c:pt idx="70">
                  <c:v>598.96698350911936</c:v>
                </c:pt>
                <c:pt idx="71">
                  <c:v>568.66631210732578</c:v>
                </c:pt>
                <c:pt idx="72">
                  <c:v>568.66631210732578</c:v>
                </c:pt>
                <c:pt idx="73">
                  <c:v>568.66631210732578</c:v>
                </c:pt>
                <c:pt idx="74">
                  <c:v>568.66631210732578</c:v>
                </c:pt>
                <c:pt idx="75">
                  <c:v>568.66631210732578</c:v>
                </c:pt>
                <c:pt idx="76">
                  <c:v>568.66631210732578</c:v>
                </c:pt>
                <c:pt idx="77">
                  <c:v>568.66631210732578</c:v>
                </c:pt>
                <c:pt idx="78">
                  <c:v>568.66631210732578</c:v>
                </c:pt>
                <c:pt idx="79">
                  <c:v>568.66631210732578</c:v>
                </c:pt>
                <c:pt idx="80">
                  <c:v>568.66631210732578</c:v>
                </c:pt>
                <c:pt idx="81">
                  <c:v>568.66631210732578</c:v>
                </c:pt>
                <c:pt idx="82">
                  <c:v>568.66631210732578</c:v>
                </c:pt>
                <c:pt idx="83">
                  <c:v>568.66631210732578</c:v>
                </c:pt>
                <c:pt idx="84">
                  <c:v>568.66631210732578</c:v>
                </c:pt>
                <c:pt idx="85">
                  <c:v>568.66631210732578</c:v>
                </c:pt>
                <c:pt idx="86">
                  <c:v>568.66631210732578</c:v>
                </c:pt>
                <c:pt idx="87">
                  <c:v>568.66631210732578</c:v>
                </c:pt>
                <c:pt idx="88">
                  <c:v>568.66631210732578</c:v>
                </c:pt>
                <c:pt idx="89">
                  <c:v>568.66631210732578</c:v>
                </c:pt>
                <c:pt idx="90">
                  <c:v>568.66631210732578</c:v>
                </c:pt>
                <c:pt idx="91">
                  <c:v>568.66631210732578</c:v>
                </c:pt>
                <c:pt idx="92">
                  <c:v>568.66631210732578</c:v>
                </c:pt>
                <c:pt idx="93">
                  <c:v>568.66631210732578</c:v>
                </c:pt>
                <c:pt idx="94">
                  <c:v>568.66631210732578</c:v>
                </c:pt>
                <c:pt idx="95">
                  <c:v>568.66631210732578</c:v>
                </c:pt>
                <c:pt idx="96">
                  <c:v>568.66631210732578</c:v>
                </c:pt>
                <c:pt idx="97">
                  <c:v>568.66631210732578</c:v>
                </c:pt>
                <c:pt idx="98">
                  <c:v>568.66631210732578</c:v>
                </c:pt>
                <c:pt idx="99">
                  <c:v>568.66631210732578</c:v>
                </c:pt>
                <c:pt idx="100">
                  <c:v>568.66631210732578</c:v>
                </c:pt>
                <c:pt idx="101">
                  <c:v>568.66631210732578</c:v>
                </c:pt>
                <c:pt idx="102">
                  <c:v>568.66631210732578</c:v>
                </c:pt>
                <c:pt idx="103">
                  <c:v>568.66631210732578</c:v>
                </c:pt>
                <c:pt idx="104">
                  <c:v>568.66631210732578</c:v>
                </c:pt>
                <c:pt idx="105">
                  <c:v>568.66631210732578</c:v>
                </c:pt>
                <c:pt idx="106">
                  <c:v>568.66631210732578</c:v>
                </c:pt>
                <c:pt idx="107">
                  <c:v>568.66631210732578</c:v>
                </c:pt>
                <c:pt idx="108">
                  <c:v>568.66631210732578</c:v>
                </c:pt>
                <c:pt idx="109">
                  <c:v>568.66631210732578</c:v>
                </c:pt>
                <c:pt idx="110">
                  <c:v>568.66631210732578</c:v>
                </c:pt>
                <c:pt idx="111">
                  <c:v>568.66631210732578</c:v>
                </c:pt>
                <c:pt idx="112">
                  <c:v>568.66631210732578</c:v>
                </c:pt>
                <c:pt idx="113">
                  <c:v>568.66631210732578</c:v>
                </c:pt>
                <c:pt idx="114">
                  <c:v>568.66631210732578</c:v>
                </c:pt>
                <c:pt idx="115">
                  <c:v>568.66631210732578</c:v>
                </c:pt>
                <c:pt idx="116">
                  <c:v>568.66631210732578</c:v>
                </c:pt>
                <c:pt idx="117">
                  <c:v>568.66631210732578</c:v>
                </c:pt>
                <c:pt idx="118">
                  <c:v>568.66631210732578</c:v>
                </c:pt>
                <c:pt idx="119">
                  <c:v>568.66631210732578</c:v>
                </c:pt>
                <c:pt idx="120">
                  <c:v>568.66631210732578</c:v>
                </c:pt>
                <c:pt idx="121">
                  <c:v>568.66631210732578</c:v>
                </c:pt>
                <c:pt idx="122">
                  <c:v>568.66631210732578</c:v>
                </c:pt>
                <c:pt idx="123">
                  <c:v>568.66631210732578</c:v>
                </c:pt>
                <c:pt idx="124">
                  <c:v>568.66631210732578</c:v>
                </c:pt>
                <c:pt idx="125">
                  <c:v>568.66631210732578</c:v>
                </c:pt>
                <c:pt idx="126">
                  <c:v>568.66631210732578</c:v>
                </c:pt>
                <c:pt idx="127">
                  <c:v>568.66631210732578</c:v>
                </c:pt>
                <c:pt idx="128">
                  <c:v>568.66631210732578</c:v>
                </c:pt>
                <c:pt idx="129">
                  <c:v>568.66631210732578</c:v>
                </c:pt>
                <c:pt idx="130">
                  <c:v>568.66631210732578</c:v>
                </c:pt>
                <c:pt idx="131">
                  <c:v>568.66631210732578</c:v>
                </c:pt>
                <c:pt idx="132">
                  <c:v>568.66631210732578</c:v>
                </c:pt>
                <c:pt idx="133">
                  <c:v>568.66631210732578</c:v>
                </c:pt>
                <c:pt idx="134">
                  <c:v>568.66631210732578</c:v>
                </c:pt>
                <c:pt idx="135">
                  <c:v>568.66631210732578</c:v>
                </c:pt>
                <c:pt idx="136">
                  <c:v>568.66631210732578</c:v>
                </c:pt>
                <c:pt idx="137">
                  <c:v>568.66631210732578</c:v>
                </c:pt>
                <c:pt idx="138">
                  <c:v>568.66631210732578</c:v>
                </c:pt>
                <c:pt idx="139">
                  <c:v>568.66631210732578</c:v>
                </c:pt>
                <c:pt idx="140">
                  <c:v>568.66631210732578</c:v>
                </c:pt>
                <c:pt idx="141">
                  <c:v>568.66631210732578</c:v>
                </c:pt>
                <c:pt idx="142">
                  <c:v>568.66631210732578</c:v>
                </c:pt>
                <c:pt idx="143">
                  <c:v>568.66631210732578</c:v>
                </c:pt>
                <c:pt idx="144">
                  <c:v>568.66631210732578</c:v>
                </c:pt>
                <c:pt idx="145">
                  <c:v>568.66631210732578</c:v>
                </c:pt>
                <c:pt idx="146">
                  <c:v>568.66631210732578</c:v>
                </c:pt>
                <c:pt idx="147">
                  <c:v>568.66631210732578</c:v>
                </c:pt>
                <c:pt idx="148">
                  <c:v>568.66631210732578</c:v>
                </c:pt>
                <c:pt idx="149">
                  <c:v>568.66631210732578</c:v>
                </c:pt>
                <c:pt idx="150">
                  <c:v>568.66631210732578</c:v>
                </c:pt>
                <c:pt idx="151">
                  <c:v>568.66631210732578</c:v>
                </c:pt>
                <c:pt idx="152">
                  <c:v>568.66631210732578</c:v>
                </c:pt>
                <c:pt idx="153">
                  <c:v>568.66631210732578</c:v>
                </c:pt>
                <c:pt idx="154">
                  <c:v>568.66631210732578</c:v>
                </c:pt>
                <c:pt idx="155">
                  <c:v>568.66631210732578</c:v>
                </c:pt>
                <c:pt idx="156">
                  <c:v>568.66631210732578</c:v>
                </c:pt>
                <c:pt idx="157">
                  <c:v>568.66631210732578</c:v>
                </c:pt>
                <c:pt idx="158">
                  <c:v>568.66631210732578</c:v>
                </c:pt>
                <c:pt idx="159">
                  <c:v>568.66631210732578</c:v>
                </c:pt>
                <c:pt idx="160">
                  <c:v>568.66631210732578</c:v>
                </c:pt>
                <c:pt idx="161">
                  <c:v>568.66631210732578</c:v>
                </c:pt>
                <c:pt idx="162">
                  <c:v>568.66631210732578</c:v>
                </c:pt>
                <c:pt idx="163">
                  <c:v>568.66631210732578</c:v>
                </c:pt>
                <c:pt idx="164">
                  <c:v>568.66631210732578</c:v>
                </c:pt>
                <c:pt idx="165">
                  <c:v>568.66631210732578</c:v>
                </c:pt>
                <c:pt idx="166">
                  <c:v>568.66631210732578</c:v>
                </c:pt>
                <c:pt idx="167">
                  <c:v>568.66631210732578</c:v>
                </c:pt>
                <c:pt idx="168">
                  <c:v>568.66631210732578</c:v>
                </c:pt>
                <c:pt idx="169">
                  <c:v>568.66631210732578</c:v>
                </c:pt>
                <c:pt idx="170">
                  <c:v>568.66631210732578</c:v>
                </c:pt>
                <c:pt idx="171">
                  <c:v>568.66631210732578</c:v>
                </c:pt>
                <c:pt idx="172">
                  <c:v>568.66631210732578</c:v>
                </c:pt>
                <c:pt idx="173">
                  <c:v>568.66631210732578</c:v>
                </c:pt>
                <c:pt idx="174">
                  <c:v>568.66631210732578</c:v>
                </c:pt>
                <c:pt idx="175">
                  <c:v>568.66631210732578</c:v>
                </c:pt>
                <c:pt idx="176">
                  <c:v>568.66631210732578</c:v>
                </c:pt>
                <c:pt idx="177">
                  <c:v>568.66631210732578</c:v>
                </c:pt>
                <c:pt idx="178">
                  <c:v>568.66631210732578</c:v>
                </c:pt>
                <c:pt idx="179">
                  <c:v>568.66631210732578</c:v>
                </c:pt>
                <c:pt idx="180">
                  <c:v>568.66631210732578</c:v>
                </c:pt>
                <c:pt idx="181">
                  <c:v>568.66631210732578</c:v>
                </c:pt>
                <c:pt idx="182">
                  <c:v>568.66631210732578</c:v>
                </c:pt>
                <c:pt idx="183">
                  <c:v>568.66631210732578</c:v>
                </c:pt>
                <c:pt idx="184">
                  <c:v>568.66631210732578</c:v>
                </c:pt>
                <c:pt idx="185">
                  <c:v>568.66631210732578</c:v>
                </c:pt>
                <c:pt idx="186">
                  <c:v>568.66631210732578</c:v>
                </c:pt>
                <c:pt idx="187">
                  <c:v>568.66631210732578</c:v>
                </c:pt>
                <c:pt idx="188">
                  <c:v>568.66631210732578</c:v>
                </c:pt>
                <c:pt idx="189">
                  <c:v>568.66631210732578</c:v>
                </c:pt>
                <c:pt idx="190">
                  <c:v>568.66631210732578</c:v>
                </c:pt>
                <c:pt idx="191">
                  <c:v>568.66631210732578</c:v>
                </c:pt>
                <c:pt idx="192">
                  <c:v>568.66631210732578</c:v>
                </c:pt>
                <c:pt idx="193">
                  <c:v>568.66631210732578</c:v>
                </c:pt>
                <c:pt idx="194">
                  <c:v>568.66631210732578</c:v>
                </c:pt>
                <c:pt idx="195">
                  <c:v>568.66631210732578</c:v>
                </c:pt>
                <c:pt idx="196">
                  <c:v>568.66631210732578</c:v>
                </c:pt>
                <c:pt idx="197">
                  <c:v>568.66631210732578</c:v>
                </c:pt>
                <c:pt idx="198">
                  <c:v>568.66631210732578</c:v>
                </c:pt>
                <c:pt idx="199">
                  <c:v>568.66631210732578</c:v>
                </c:pt>
                <c:pt idx="200">
                  <c:v>568.66631210732578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2.1011179483741005</c:v>
                </c:pt>
                <c:pt idx="2">
                  <c:v>3.0382037621669138</c:v>
                </c:pt>
                <c:pt idx="3">
                  <c:v>4.3950936117248345</c:v>
                </c:pt>
                <c:pt idx="4">
                  <c:v>6.3606421801540085</c:v>
                </c:pt>
                <c:pt idx="5">
                  <c:v>9.2089930039860075</c:v>
                </c:pt>
                <c:pt idx="6">
                  <c:v>13.338233587395647</c:v>
                </c:pt>
                <c:pt idx="7">
                  <c:v>19.326627283485298</c:v>
                </c:pt>
                <c:pt idx="8">
                  <c:v>28.014437957497069</c:v>
                </c:pt>
                <c:pt idx="9">
                  <c:v>40.623029009222428</c:v>
                </c:pt>
                <c:pt idx="10">
                  <c:v>58.928264117266451</c:v>
                </c:pt>
                <c:pt idx="11">
                  <c:v>85.441466338571772</c:v>
                </c:pt>
                <c:pt idx="12">
                  <c:v>111.74488442302169</c:v>
                </c:pt>
                <c:pt idx="13">
                  <c:v>137.89546772415443</c:v>
                </c:pt>
                <c:pt idx="14">
                  <c:v>163.9264484961387</c:v>
                </c:pt>
                <c:pt idx="15">
                  <c:v>189.85954559101182</c:v>
                </c:pt>
                <c:pt idx="16">
                  <c:v>151.04599360174032</c:v>
                </c:pt>
                <c:pt idx="17">
                  <c:v>185.0189099293344</c:v>
                </c:pt>
                <c:pt idx="18">
                  <c:v>218.84568756098733</c:v>
                </c:pt>
                <c:pt idx="19">
                  <c:v>252.55213480585226</c:v>
                </c:pt>
                <c:pt idx="20">
                  <c:v>286.15657784953424</c:v>
                </c:pt>
                <c:pt idx="21">
                  <c:v>223.66777003883416</c:v>
                </c:pt>
                <c:pt idx="22">
                  <c:v>262.16314470655618</c:v>
                </c:pt>
                <c:pt idx="23">
                  <c:v>300.53076365322926</c:v>
                </c:pt>
                <c:pt idx="24">
                  <c:v>338.78922830090443</c:v>
                </c:pt>
                <c:pt idx="25">
                  <c:v>376.9525885389333</c:v>
                </c:pt>
                <c:pt idx="26">
                  <c:v>316.80304886823097</c:v>
                </c:pt>
                <c:pt idx="27">
                  <c:v>356.92795063877315</c:v>
                </c:pt>
                <c:pt idx="28">
                  <c:v>396.9540727180115</c:v>
                </c:pt>
                <c:pt idx="29">
                  <c:v>436.89276257345506</c:v>
                </c:pt>
                <c:pt idx="30">
                  <c:v>476.75312396624332</c:v>
                </c:pt>
                <c:pt idx="31">
                  <c:v>415.74505644902735</c:v>
                </c:pt>
                <c:pt idx="32">
                  <c:v>454.45948101687009</c:v>
                </c:pt>
                <c:pt idx="33">
                  <c:v>493.10343438978794</c:v>
                </c:pt>
                <c:pt idx="34">
                  <c:v>531.68320602101687</c:v>
                </c:pt>
                <c:pt idx="35">
                  <c:v>570.20409916416418</c:v>
                </c:pt>
                <c:pt idx="36">
                  <c:v>506.83826832894192</c:v>
                </c:pt>
                <c:pt idx="37">
                  <c:v>542.79628576284824</c:v>
                </c:pt>
                <c:pt idx="38">
                  <c:v>578.7043081283615</c:v>
                </c:pt>
                <c:pt idx="39">
                  <c:v>614.5658680913283</c:v>
                </c:pt>
                <c:pt idx="40">
                  <c:v>650.3840530259705</c:v>
                </c:pt>
                <c:pt idx="41">
                  <c:v>583.89759543430671</c:v>
                </c:pt>
                <c:pt idx="42">
                  <c:v>616.45209185196984</c:v>
                </c:pt>
                <c:pt idx="43">
                  <c:v>648.97096484131816</c:v>
                </c:pt>
                <c:pt idx="44">
                  <c:v>681.45624737883566</c:v>
                </c:pt>
                <c:pt idx="45">
                  <c:v>713.90976311819713</c:v>
                </c:pt>
                <c:pt idx="46">
                  <c:v>649.20648394180876</c:v>
                </c:pt>
                <c:pt idx="47">
                  <c:v>678.63272618537417</c:v>
                </c:pt>
                <c:pt idx="48">
                  <c:v>708.032783040955</c:v>
                </c:pt>
                <c:pt idx="49">
                  <c:v>737.40789301225323</c:v>
                </c:pt>
                <c:pt idx="50">
                  <c:v>766.75918804010917</c:v>
                </c:pt>
                <c:pt idx="51">
                  <c:v>3.4554122145673649E-12</c:v>
                </c:pt>
                <c:pt idx="52">
                  <c:v>3.4554122145673649E-12</c:v>
                </c:pt>
                <c:pt idx="53">
                  <c:v>3.4554122145673649E-12</c:v>
                </c:pt>
                <c:pt idx="54">
                  <c:v>3.4554122145673649E-12</c:v>
                </c:pt>
                <c:pt idx="55">
                  <c:v>3.4554122145673649E-12</c:v>
                </c:pt>
                <c:pt idx="56">
                  <c:v>3.4554122145673649E-12</c:v>
                </c:pt>
                <c:pt idx="57">
                  <c:v>3.4554122145673649E-12</c:v>
                </c:pt>
                <c:pt idx="58">
                  <c:v>3.4554122145673649E-12</c:v>
                </c:pt>
                <c:pt idx="59">
                  <c:v>3.4554122145673649E-12</c:v>
                </c:pt>
                <c:pt idx="60">
                  <c:v>3.4554122145673649E-12</c:v>
                </c:pt>
                <c:pt idx="61">
                  <c:v>3.4554122145673649E-12</c:v>
                </c:pt>
                <c:pt idx="62">
                  <c:v>3.4554122145673649E-12</c:v>
                </c:pt>
                <c:pt idx="63">
                  <c:v>3.4554122145673649E-12</c:v>
                </c:pt>
                <c:pt idx="64">
                  <c:v>3.4554122145673649E-12</c:v>
                </c:pt>
                <c:pt idx="65">
                  <c:v>3.4554122145673649E-12</c:v>
                </c:pt>
                <c:pt idx="66">
                  <c:v>3.4554122145673649E-12</c:v>
                </c:pt>
                <c:pt idx="67">
                  <c:v>3.4554122145673649E-12</c:v>
                </c:pt>
                <c:pt idx="68">
                  <c:v>3.4554122145673649E-12</c:v>
                </c:pt>
                <c:pt idx="69">
                  <c:v>3.4554122145673649E-12</c:v>
                </c:pt>
                <c:pt idx="70">
                  <c:v>3.4554122145673649E-12</c:v>
                </c:pt>
                <c:pt idx="71">
                  <c:v>3.4554122145673649E-12</c:v>
                </c:pt>
                <c:pt idx="72">
                  <c:v>3.4554122145673649E-12</c:v>
                </c:pt>
                <c:pt idx="73">
                  <c:v>3.4554122145673649E-12</c:v>
                </c:pt>
                <c:pt idx="74">
                  <c:v>3.4554122145673649E-12</c:v>
                </c:pt>
                <c:pt idx="75">
                  <c:v>3.4554122145673649E-12</c:v>
                </c:pt>
                <c:pt idx="76">
                  <c:v>3.4554122145673649E-12</c:v>
                </c:pt>
                <c:pt idx="77">
                  <c:v>3.4554122145673649E-12</c:v>
                </c:pt>
                <c:pt idx="78">
                  <c:v>3.4554122145673649E-12</c:v>
                </c:pt>
                <c:pt idx="79">
                  <c:v>3.4554122145673649E-12</c:v>
                </c:pt>
                <c:pt idx="80">
                  <c:v>3.4554122145673649E-12</c:v>
                </c:pt>
                <c:pt idx="81">
                  <c:v>3.4554122145673649E-12</c:v>
                </c:pt>
                <c:pt idx="82">
                  <c:v>3.4554122145673649E-12</c:v>
                </c:pt>
                <c:pt idx="83">
                  <c:v>3.4554122145673649E-12</c:v>
                </c:pt>
                <c:pt idx="84">
                  <c:v>3.4554122145673649E-12</c:v>
                </c:pt>
                <c:pt idx="85">
                  <c:v>3.4554122145673649E-12</c:v>
                </c:pt>
                <c:pt idx="86">
                  <c:v>3.4554122145673649E-12</c:v>
                </c:pt>
                <c:pt idx="87">
                  <c:v>3.4554122145673649E-12</c:v>
                </c:pt>
                <c:pt idx="88">
                  <c:v>3.4554122145673649E-12</c:v>
                </c:pt>
                <c:pt idx="89">
                  <c:v>3.4554122145673649E-12</c:v>
                </c:pt>
                <c:pt idx="90">
                  <c:v>3.4554122145673649E-12</c:v>
                </c:pt>
                <c:pt idx="91">
                  <c:v>3.4554122145673649E-12</c:v>
                </c:pt>
                <c:pt idx="92">
                  <c:v>3.4554122145673649E-12</c:v>
                </c:pt>
                <c:pt idx="93">
                  <c:v>3.4554122145673649E-12</c:v>
                </c:pt>
                <c:pt idx="94">
                  <c:v>3.4554122145673649E-12</c:v>
                </c:pt>
                <c:pt idx="95">
                  <c:v>3.4554122145673649E-12</c:v>
                </c:pt>
                <c:pt idx="96">
                  <c:v>3.4554122145673649E-12</c:v>
                </c:pt>
                <c:pt idx="97">
                  <c:v>3.4554122145673649E-12</c:v>
                </c:pt>
                <c:pt idx="98">
                  <c:v>3.4554122145673649E-12</c:v>
                </c:pt>
                <c:pt idx="99">
                  <c:v>3.4554122145673649E-12</c:v>
                </c:pt>
                <c:pt idx="100">
                  <c:v>3.4554122145673649E-12</c:v>
                </c:pt>
                <c:pt idx="101">
                  <c:v>3.4554122145673649E-12</c:v>
                </c:pt>
                <c:pt idx="102">
                  <c:v>3.4554122145673649E-12</c:v>
                </c:pt>
                <c:pt idx="103">
                  <c:v>3.4554122145673649E-12</c:v>
                </c:pt>
                <c:pt idx="104">
                  <c:v>3.4554122145673649E-12</c:v>
                </c:pt>
                <c:pt idx="105">
                  <c:v>3.4554122145673649E-12</c:v>
                </c:pt>
                <c:pt idx="106">
                  <c:v>3.4554122145673649E-12</c:v>
                </c:pt>
                <c:pt idx="107">
                  <c:v>3.4554122145673649E-12</c:v>
                </c:pt>
                <c:pt idx="108">
                  <c:v>3.4554122145673649E-12</c:v>
                </c:pt>
                <c:pt idx="109">
                  <c:v>3.4554122145673649E-12</c:v>
                </c:pt>
                <c:pt idx="110">
                  <c:v>3.4554122145673649E-12</c:v>
                </c:pt>
                <c:pt idx="111">
                  <c:v>3.4554122145673649E-12</c:v>
                </c:pt>
                <c:pt idx="112">
                  <c:v>3.4554122145673649E-12</c:v>
                </c:pt>
                <c:pt idx="113">
                  <c:v>3.4554122145673649E-12</c:v>
                </c:pt>
                <c:pt idx="114">
                  <c:v>3.4554122145673649E-12</c:v>
                </c:pt>
                <c:pt idx="115">
                  <c:v>3.4554122145673649E-12</c:v>
                </c:pt>
                <c:pt idx="116">
                  <c:v>3.4554122145673649E-12</c:v>
                </c:pt>
                <c:pt idx="117">
                  <c:v>3.4554122145673649E-12</c:v>
                </c:pt>
                <c:pt idx="118">
                  <c:v>3.4554122145673649E-12</c:v>
                </c:pt>
                <c:pt idx="119">
                  <c:v>3.4554122145673649E-12</c:v>
                </c:pt>
                <c:pt idx="120">
                  <c:v>3.4554122145673649E-12</c:v>
                </c:pt>
                <c:pt idx="121">
                  <c:v>3.4554122145673649E-12</c:v>
                </c:pt>
                <c:pt idx="122">
                  <c:v>3.4554122145673649E-12</c:v>
                </c:pt>
                <c:pt idx="123">
                  <c:v>3.4554122145673649E-12</c:v>
                </c:pt>
                <c:pt idx="124">
                  <c:v>3.4554122145673649E-12</c:v>
                </c:pt>
                <c:pt idx="125">
                  <c:v>3.4554122145673649E-12</c:v>
                </c:pt>
                <c:pt idx="126">
                  <c:v>3.4554122145673649E-12</c:v>
                </c:pt>
                <c:pt idx="127">
                  <c:v>3.4554122145673649E-12</c:v>
                </c:pt>
                <c:pt idx="128">
                  <c:v>3.4554122145673649E-12</c:v>
                </c:pt>
                <c:pt idx="129">
                  <c:v>3.4554122145673649E-12</c:v>
                </c:pt>
                <c:pt idx="130">
                  <c:v>3.4554122145673649E-12</c:v>
                </c:pt>
                <c:pt idx="131">
                  <c:v>3.4554122145673649E-12</c:v>
                </c:pt>
                <c:pt idx="132">
                  <c:v>3.4554122145673649E-12</c:v>
                </c:pt>
                <c:pt idx="133">
                  <c:v>3.4554122145673649E-12</c:v>
                </c:pt>
                <c:pt idx="134">
                  <c:v>3.4554122145673649E-12</c:v>
                </c:pt>
                <c:pt idx="135">
                  <c:v>3.4554122145673649E-12</c:v>
                </c:pt>
                <c:pt idx="136">
                  <c:v>3.4554122145673649E-12</c:v>
                </c:pt>
                <c:pt idx="137">
                  <c:v>3.4554122145673649E-12</c:v>
                </c:pt>
                <c:pt idx="138">
                  <c:v>3.4554122145673649E-12</c:v>
                </c:pt>
                <c:pt idx="139">
                  <c:v>3.4554122145673649E-12</c:v>
                </c:pt>
                <c:pt idx="140">
                  <c:v>3.4554122145673649E-12</c:v>
                </c:pt>
                <c:pt idx="141">
                  <c:v>3.4554122145673649E-12</c:v>
                </c:pt>
                <c:pt idx="142">
                  <c:v>3.4554122145673649E-12</c:v>
                </c:pt>
                <c:pt idx="143">
                  <c:v>3.4554122145673649E-12</c:v>
                </c:pt>
                <c:pt idx="144">
                  <c:v>3.4554122145673649E-12</c:v>
                </c:pt>
                <c:pt idx="145">
                  <c:v>3.4554122145673649E-12</c:v>
                </c:pt>
                <c:pt idx="146">
                  <c:v>3.4554122145673649E-12</c:v>
                </c:pt>
                <c:pt idx="147">
                  <c:v>3.4554122145673649E-12</c:v>
                </c:pt>
                <c:pt idx="148">
                  <c:v>3.4554122145673649E-12</c:v>
                </c:pt>
                <c:pt idx="149">
                  <c:v>3.4554122145673649E-12</c:v>
                </c:pt>
                <c:pt idx="150">
                  <c:v>3.4554122145673649E-12</c:v>
                </c:pt>
                <c:pt idx="151">
                  <c:v>3.4554122145673649E-12</c:v>
                </c:pt>
                <c:pt idx="152">
                  <c:v>3.4554122145673649E-12</c:v>
                </c:pt>
                <c:pt idx="153">
                  <c:v>3.4554122145673649E-12</c:v>
                </c:pt>
                <c:pt idx="154">
                  <c:v>3.4554122145673649E-12</c:v>
                </c:pt>
                <c:pt idx="155">
                  <c:v>3.4554122145673649E-12</c:v>
                </c:pt>
                <c:pt idx="156">
                  <c:v>3.4554122145673649E-12</c:v>
                </c:pt>
                <c:pt idx="157">
                  <c:v>3.4554122145673649E-12</c:v>
                </c:pt>
                <c:pt idx="158">
                  <c:v>3.4554122145673649E-12</c:v>
                </c:pt>
                <c:pt idx="159">
                  <c:v>3.4554122145673649E-12</c:v>
                </c:pt>
                <c:pt idx="160">
                  <c:v>3.4554122145673649E-12</c:v>
                </c:pt>
                <c:pt idx="161">
                  <c:v>3.4554122145673649E-12</c:v>
                </c:pt>
                <c:pt idx="162">
                  <c:v>3.4554122145673649E-12</c:v>
                </c:pt>
                <c:pt idx="163">
                  <c:v>3.4554122145673649E-12</c:v>
                </c:pt>
                <c:pt idx="164">
                  <c:v>3.4554122145673649E-12</c:v>
                </c:pt>
                <c:pt idx="165">
                  <c:v>3.4554122145673649E-12</c:v>
                </c:pt>
                <c:pt idx="166">
                  <c:v>3.4554122145673649E-12</c:v>
                </c:pt>
                <c:pt idx="167">
                  <c:v>3.4554122145673649E-12</c:v>
                </c:pt>
                <c:pt idx="168">
                  <c:v>3.4554122145673649E-12</c:v>
                </c:pt>
                <c:pt idx="169">
                  <c:v>3.4554122145673649E-12</c:v>
                </c:pt>
                <c:pt idx="170">
                  <c:v>3.4554122145673649E-12</c:v>
                </c:pt>
                <c:pt idx="171">
                  <c:v>3.4554122145673649E-12</c:v>
                </c:pt>
                <c:pt idx="172">
                  <c:v>3.4554122145673649E-12</c:v>
                </c:pt>
                <c:pt idx="173">
                  <c:v>3.4554122145673649E-12</c:v>
                </c:pt>
                <c:pt idx="174">
                  <c:v>3.4554122145673649E-12</c:v>
                </c:pt>
                <c:pt idx="175">
                  <c:v>3.4554122145673649E-12</c:v>
                </c:pt>
                <c:pt idx="176">
                  <c:v>3.4554122145673649E-12</c:v>
                </c:pt>
                <c:pt idx="177">
                  <c:v>3.4554122145673649E-12</c:v>
                </c:pt>
                <c:pt idx="178">
                  <c:v>3.4554122145673649E-12</c:v>
                </c:pt>
                <c:pt idx="179">
                  <c:v>3.4554122145673649E-12</c:v>
                </c:pt>
                <c:pt idx="180">
                  <c:v>3.4554122145673649E-12</c:v>
                </c:pt>
                <c:pt idx="181">
                  <c:v>3.4554122145673649E-12</c:v>
                </c:pt>
                <c:pt idx="182">
                  <c:v>3.4554122145673649E-12</c:v>
                </c:pt>
                <c:pt idx="183">
                  <c:v>3.4554122145673649E-12</c:v>
                </c:pt>
                <c:pt idx="184">
                  <c:v>3.4554122145673649E-12</c:v>
                </c:pt>
                <c:pt idx="185">
                  <c:v>3.4554122145673649E-12</c:v>
                </c:pt>
                <c:pt idx="186">
                  <c:v>3.4554122145673649E-12</c:v>
                </c:pt>
                <c:pt idx="187">
                  <c:v>3.4554122145673649E-12</c:v>
                </c:pt>
                <c:pt idx="188">
                  <c:v>3.4554122145673649E-12</c:v>
                </c:pt>
                <c:pt idx="189">
                  <c:v>3.4554122145673649E-12</c:v>
                </c:pt>
                <c:pt idx="190">
                  <c:v>3.4554122145673649E-12</c:v>
                </c:pt>
                <c:pt idx="191">
                  <c:v>3.4554122145673649E-12</c:v>
                </c:pt>
                <c:pt idx="192">
                  <c:v>3.4554122145673649E-12</c:v>
                </c:pt>
                <c:pt idx="193">
                  <c:v>3.4554122145673649E-12</c:v>
                </c:pt>
                <c:pt idx="194">
                  <c:v>3.4554122145673649E-12</c:v>
                </c:pt>
                <c:pt idx="195">
                  <c:v>3.4554122145673649E-12</c:v>
                </c:pt>
                <c:pt idx="196">
                  <c:v>3.4554122145673649E-12</c:v>
                </c:pt>
                <c:pt idx="197">
                  <c:v>3.4554122145673649E-12</c:v>
                </c:pt>
                <c:pt idx="198">
                  <c:v>3.4554122145673649E-12</c:v>
                </c:pt>
                <c:pt idx="199">
                  <c:v>3.4554122145673649E-12</c:v>
                </c:pt>
                <c:pt idx="200">
                  <c:v>3.4554122145673649E-12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D48" sqref="D48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58" t="s">
        <v>291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</row>
    <row r="13" spans="2:13" ht="15" customHeight="1" x14ac:dyDescent="0.2"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</row>
    <row r="14" spans="2:13" ht="15" customHeight="1" x14ac:dyDescent="0.2"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</row>
    <row r="15" spans="2:13" ht="18.75" customHeight="1" x14ac:dyDescent="0.2"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</row>
    <row r="16" spans="2:13" ht="18.75" customHeight="1" x14ac:dyDescent="0.2">
      <c r="B16" s="258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</row>
    <row r="18" spans="2:13" ht="12" customHeight="1" x14ac:dyDescent="0.2">
      <c r="B18" s="258" t="s">
        <v>292</v>
      </c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</row>
    <row r="19" spans="2:13" ht="12" customHeight="1" x14ac:dyDescent="0.2"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</row>
    <row r="20" spans="2:13" ht="12" customHeight="1" x14ac:dyDescent="0.2">
      <c r="B20" s="258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</row>
    <row r="21" spans="2:13" ht="12" customHeight="1" x14ac:dyDescent="0.2"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</row>
    <row r="22" spans="2:13" ht="12" customHeight="1" x14ac:dyDescent="0.2">
      <c r="B22" s="258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</row>
    <row r="23" spans="2:13" ht="12" customHeight="1" x14ac:dyDescent="0.2"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</row>
    <row r="24" spans="2:13" ht="12" customHeight="1" x14ac:dyDescent="0.2"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</row>
    <row r="25" spans="2:13" ht="12" customHeight="1" x14ac:dyDescent="0.2"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</row>
    <row r="26" spans="2:13" ht="12" customHeight="1" x14ac:dyDescent="0.2"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</row>
    <row r="27" spans="2:13" ht="12" customHeight="1" x14ac:dyDescent="0.2"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</row>
    <row r="28" spans="2:13" ht="12" customHeight="1" x14ac:dyDescent="0.2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</row>
    <row r="29" spans="2:13" ht="12" customHeight="1" x14ac:dyDescent="0.2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</row>
    <row r="30" spans="2:13" ht="12" customHeight="1" x14ac:dyDescent="0.2"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</row>
    <row r="31" spans="2:13" ht="12" customHeight="1" x14ac:dyDescent="0.2"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55" zoomScale="80" zoomScaleNormal="80" workbookViewId="0">
      <selection activeCell="C186" sqref="C186"/>
    </sheetView>
  </sheetViews>
  <sheetFormatPr baseColWidth="10" defaultColWidth="11.5" defaultRowHeight="15" x14ac:dyDescent="0.2"/>
  <cols>
    <col min="1" max="1" width="13.6640625" style="23" customWidth="1"/>
    <col min="2" max="2" width="36.1640625" style="23" customWidth="1"/>
    <col min="3" max="3" width="14.83203125" style="23" bestFit="1" customWidth="1"/>
    <col min="4" max="4" width="16.5" style="23" customWidth="1"/>
    <col min="5" max="5" width="23.33203125" style="23" customWidth="1"/>
    <col min="6" max="6" width="28.83203125" style="23" bestFit="1" customWidth="1"/>
    <col min="7" max="8" width="14.6640625" style="23" customWidth="1"/>
    <col min="9" max="9" width="17" style="23" customWidth="1"/>
    <col min="10" max="10" width="13.83203125" style="23" customWidth="1"/>
    <col min="11" max="16384" width="11.5" style="23"/>
  </cols>
  <sheetData>
    <row r="1" spans="1:38" x14ac:dyDescent="0.2">
      <c r="A1" s="4"/>
      <c r="B1" s="4"/>
      <c r="C1" s="259" t="s">
        <v>190</v>
      </c>
      <c r="D1" s="259"/>
      <c r="E1" s="259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6" thickBot="1" x14ac:dyDescent="0.25">
      <c r="A2" s="4"/>
      <c r="B2" s="4"/>
      <c r="C2" s="4"/>
      <c r="D2" s="4"/>
      <c r="E2" s="4"/>
      <c r="F2" s="4"/>
      <c r="G2" s="4"/>
      <c r="H2" s="4"/>
      <c r="I2" s="210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25">
      <c r="A3" s="4"/>
      <c r="B3" s="264" t="s">
        <v>192</v>
      </c>
      <c r="C3" s="265"/>
      <c r="D3" s="265"/>
      <c r="E3" s="265"/>
      <c r="F3" s="266"/>
      <c r="G3" s="88"/>
      <c r="I3" s="210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2">
      <c r="A4" s="89"/>
      <c r="B4" s="89"/>
      <c r="C4" s="89"/>
      <c r="D4" s="89"/>
      <c r="E4" s="89"/>
      <c r="F4" s="89"/>
      <c r="G4" s="217"/>
      <c r="I4" s="210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2">
      <c r="A5" s="269" t="s">
        <v>231</v>
      </c>
      <c r="B5" s="269"/>
      <c r="C5" s="24">
        <v>24</v>
      </c>
      <c r="D5" s="270" t="s">
        <v>229</v>
      </c>
      <c r="E5" s="271"/>
      <c r="F5" s="89"/>
      <c r="G5" s="217"/>
      <c r="H5" s="217"/>
      <c r="I5" s="217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">
      <c r="A6" s="90"/>
      <c r="B6" s="90"/>
      <c r="C6" s="4"/>
      <c r="D6" s="86"/>
      <c r="E6" s="86"/>
      <c r="F6" s="26"/>
      <c r="G6" s="204"/>
      <c r="H6" s="204"/>
      <c r="I6" s="20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2">
      <c r="A7" s="268" t="s">
        <v>226</v>
      </c>
      <c r="B7" s="268"/>
      <c r="C7" s="89"/>
      <c r="D7" s="89"/>
      <c r="E7" s="4"/>
      <c r="F7" s="89"/>
      <c r="G7" s="217"/>
      <c r="H7" s="217"/>
      <c r="I7" s="217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">
      <c r="A9" s="30" t="s">
        <v>165</v>
      </c>
      <c r="B9" s="31" t="s">
        <v>14</v>
      </c>
      <c r="C9" s="32">
        <v>0.28050000000000003</v>
      </c>
      <c r="D9" s="33">
        <f t="shared" ref="D9:D18" si="0">C9*$C$5</f>
        <v>6.7320000000000011</v>
      </c>
      <c r="E9" s="34">
        <v>120</v>
      </c>
      <c r="F9" s="35" t="str">
        <f t="array" ref="F9">IF(E9="","",IF(INDEX(A:A,MAX(IF(ISNUMBER($A$36:$A$55),ROW($A$36:$A$55),"")))&lt;&gt;E9,"Corrigez : révolution incorrecte","OK"))</f>
        <v>OK</v>
      </c>
      <c r="G9" s="227" t="s">
        <v>306</v>
      </c>
      <c r="I9" s="225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">
      <c r="A10" s="30" t="s">
        <v>166</v>
      </c>
      <c r="B10" s="31" t="s">
        <v>52</v>
      </c>
      <c r="C10" s="32">
        <v>6.2500000000000003E-3</v>
      </c>
      <c r="D10" s="33">
        <f t="shared" si="0"/>
        <v>0.15000000000000002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5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">
      <c r="A11" s="30" t="s">
        <v>167</v>
      </c>
      <c r="B11" s="31" t="s">
        <v>324</v>
      </c>
      <c r="C11" s="32">
        <v>5.1999999999999998E-3</v>
      </c>
      <c r="D11" s="33">
        <f t="shared" si="0"/>
        <v>0.12479999999999999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5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">
      <c r="A12" s="30" t="s">
        <v>168</v>
      </c>
      <c r="B12" s="31" t="s">
        <v>14</v>
      </c>
      <c r="C12" s="32">
        <v>7.3000000000000001E-3</v>
      </c>
      <c r="D12" s="33">
        <f t="shared" si="0"/>
        <v>0.17519999999999999</v>
      </c>
      <c r="E12" s="34">
        <v>80</v>
      </c>
      <c r="F12" s="35" t="str">
        <f t="array" ref="F12">IF(E12="","",IF(INDEX(A:A,MAX(IF(ISNUMBER($A$114:$A$133),ROW($A$114:$A$133),"")))&lt;&gt;E12,"Corrigez : révolution incorrecte","OK"))</f>
        <v>OK</v>
      </c>
      <c r="G12" s="257" t="s">
        <v>325</v>
      </c>
      <c r="I12" s="225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">
      <c r="A13" s="30" t="s">
        <v>169</v>
      </c>
      <c r="B13" s="31" t="s">
        <v>52</v>
      </c>
      <c r="C13" s="32">
        <v>8.0999999999999996E-3</v>
      </c>
      <c r="D13" s="33">
        <f t="shared" si="0"/>
        <v>0.19439999999999999</v>
      </c>
      <c r="E13" s="34">
        <v>80</v>
      </c>
      <c r="F13" s="35" t="str">
        <f t="array" ref="F13">IF(E13="","",IF(INDEX(A:A,MAX(IF(ISNUMBER($A$140:$A$159),ROW($A$140:$A$159),"")))&lt;&gt;E13,"Corrigez : révolution incorrecte","OK"))</f>
        <v>OK</v>
      </c>
      <c r="G13" s="257" t="s">
        <v>326</v>
      </c>
      <c r="I13" s="225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">
      <c r="A14" s="30" t="s">
        <v>170</v>
      </c>
      <c r="B14" s="31" t="s">
        <v>35</v>
      </c>
      <c r="C14" s="32">
        <v>0.38535000000000003</v>
      </c>
      <c r="D14" s="33">
        <f t="shared" si="0"/>
        <v>9.2484000000000002</v>
      </c>
      <c r="E14" s="34">
        <v>70</v>
      </c>
      <c r="F14" s="35" t="str">
        <f t="array" ref="F14">IF(E14="","",IF(INDEX(A:A,MAX(IF(ISNUMBER($A$166:$A$185),ROW($A$166:$A$185),"")))&lt;&gt;E14,"Corrigez : révolution incorrecte","OK"))</f>
        <v>OK</v>
      </c>
      <c r="I14" s="225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">
      <c r="A15" s="30" t="s">
        <v>171</v>
      </c>
      <c r="B15" s="31" t="s">
        <v>18</v>
      </c>
      <c r="C15" s="32">
        <v>0.30730000000000002</v>
      </c>
      <c r="D15" s="33">
        <f t="shared" si="0"/>
        <v>7.3752000000000004</v>
      </c>
      <c r="E15" s="34">
        <v>50</v>
      </c>
      <c r="F15" s="35" t="str">
        <f t="array" ref="F15">IF(E15="","",IF(INDEX(A:A,MAX(IF(ISNUMBER($A$192:$A$211),ROW($A$192:$A$211),"")))&lt;&gt;E15,"Corrigez : révolution incorrecte","OK"))</f>
        <v>OK</v>
      </c>
      <c r="I15" s="225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5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5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5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">
      <c r="A19" s="78"/>
      <c r="B19" s="36" t="s">
        <v>175</v>
      </c>
      <c r="C19" s="37">
        <f>SUM(C9:C18)</f>
        <v>1</v>
      </c>
      <c r="D19" s="38">
        <f>SUM(D9:D18)</f>
        <v>24</v>
      </c>
      <c r="E19" s="4"/>
      <c r="F19" s="91"/>
      <c r="G19" s="218"/>
      <c r="H19" s="218"/>
      <c r="I19" s="218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">
      <c r="A20" s="78"/>
      <c r="B20" s="39" t="s">
        <v>230</v>
      </c>
      <c r="C20" s="40" t="str">
        <f>IF(C19&gt;100%,"Erreur : corrigez","OK")</f>
        <v>OK</v>
      </c>
      <c r="D20" s="221"/>
      <c r="F20" s="204"/>
      <c r="G20" s="204"/>
      <c r="H20" s="218"/>
      <c r="I20" s="218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">
      <c r="A21" s="4"/>
      <c r="B21" s="4"/>
      <c r="C21" s="4"/>
      <c r="H21" s="219"/>
      <c r="I21" s="219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25">
      <c r="A22" s="267" t="s">
        <v>232</v>
      </c>
      <c r="B22" s="267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">
      <c r="A24" s="41" t="s">
        <v>218</v>
      </c>
      <c r="B24" s="42" t="s">
        <v>224</v>
      </c>
      <c r="C24" s="43">
        <v>0</v>
      </c>
      <c r="D24" s="44" t="s">
        <v>233</v>
      </c>
      <c r="E24" s="92"/>
      <c r="F24" s="92"/>
      <c r="G24" s="201"/>
      <c r="I24" s="201"/>
      <c r="J24" s="220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">
      <c r="A25" s="41" t="s">
        <v>220</v>
      </c>
      <c r="B25" s="42" t="s">
        <v>219</v>
      </c>
      <c r="C25" s="45">
        <v>0.1</v>
      </c>
      <c r="D25" s="93"/>
      <c r="E25" s="4"/>
      <c r="F25" s="93"/>
      <c r="G25" s="220"/>
      <c r="I25" s="220"/>
      <c r="J25" s="220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">
      <c r="A26" s="41" t="s">
        <v>222</v>
      </c>
      <c r="B26" s="42" t="s">
        <v>221</v>
      </c>
      <c r="C26" s="43">
        <v>0</v>
      </c>
      <c r="D26" s="44" t="s">
        <v>234</v>
      </c>
      <c r="E26" s="92"/>
      <c r="F26" s="92"/>
      <c r="G26" s="201"/>
      <c r="I26" s="201"/>
      <c r="J26" s="201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">
      <c r="A27" s="41" t="s">
        <v>223</v>
      </c>
      <c r="B27" s="42" t="s">
        <v>225</v>
      </c>
      <c r="C27" s="43">
        <v>0</v>
      </c>
      <c r="D27" s="44" t="s">
        <v>235</v>
      </c>
      <c r="E27" s="92"/>
      <c r="F27" s="92"/>
      <c r="G27" s="201"/>
      <c r="I27" s="201"/>
      <c r="J27" s="201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">
      <c r="A30" s="268" t="s">
        <v>227</v>
      </c>
      <c r="B30" s="268"/>
      <c r="D30" s="222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">
      <c r="A31" s="4"/>
      <c r="B31" s="4"/>
      <c r="K31" s="222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">
      <c r="A32" s="46" t="s">
        <v>165</v>
      </c>
      <c r="B32" s="47" t="str">
        <f>IF(B9="","",B9)</f>
        <v>Chêne sessile</v>
      </c>
      <c r="D32" s="228" t="s">
        <v>307</v>
      </c>
      <c r="K32" s="22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">
      <c r="A33" s="46"/>
      <c r="B33" s="4"/>
      <c r="K33" s="222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">
      <c r="A34" s="4"/>
      <c r="B34" s="85" t="s">
        <v>185</v>
      </c>
      <c r="C34" s="260" t="s">
        <v>186</v>
      </c>
      <c r="D34" s="260"/>
      <c r="E34" s="261" t="s">
        <v>187</v>
      </c>
      <c r="F34" s="262"/>
      <c r="G34" s="262"/>
      <c r="H34" s="263"/>
      <c r="I34" s="94"/>
      <c r="J34" s="222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32" x14ac:dyDescent="0.2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3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">
      <c r="A36" s="50">
        <v>25</v>
      </c>
      <c r="B36" s="60">
        <v>30</v>
      </c>
      <c r="C36" s="60">
        <v>1</v>
      </c>
      <c r="D36" s="60">
        <v>0</v>
      </c>
      <c r="E36" s="51">
        <v>0</v>
      </c>
      <c r="F36" s="51"/>
      <c r="G36" s="51"/>
      <c r="H36" s="51">
        <v>1</v>
      </c>
      <c r="I36" s="49">
        <f>IFERROR(B36/A36,"")</f>
        <v>1.2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">
      <c r="A37" s="50">
        <v>30</v>
      </c>
      <c r="B37" s="60">
        <v>54</v>
      </c>
      <c r="C37" s="60">
        <v>2</v>
      </c>
      <c r="D37" s="60">
        <v>0</v>
      </c>
      <c r="E37" s="51">
        <v>0</v>
      </c>
      <c r="F37" s="51"/>
      <c r="G37" s="51"/>
      <c r="H37" s="51">
        <v>1</v>
      </c>
      <c r="I37" s="53">
        <f t="shared" ref="I37:I55" si="1">IF(A37&lt;&gt;0,(B37-(B36-D36))/(A37-A36),"")</f>
        <v>4.8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">
      <c r="A38" s="50">
        <v>35</v>
      </c>
      <c r="B38" s="60">
        <v>79</v>
      </c>
      <c r="C38" s="60">
        <v>3</v>
      </c>
      <c r="D38" s="60">
        <v>13</v>
      </c>
      <c r="E38" s="51">
        <v>0</v>
      </c>
      <c r="F38" s="51"/>
      <c r="G38" s="51"/>
      <c r="H38" s="51">
        <v>1</v>
      </c>
      <c r="I38" s="53">
        <f t="shared" si="1"/>
        <v>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">
      <c r="A39" s="50">
        <v>40</v>
      </c>
      <c r="B39" s="60">
        <v>93</v>
      </c>
      <c r="C39" s="60">
        <v>4</v>
      </c>
      <c r="D39" s="60">
        <v>14</v>
      </c>
      <c r="E39" s="51">
        <v>0.2</v>
      </c>
      <c r="F39" s="51"/>
      <c r="G39" s="51"/>
      <c r="H39" s="51">
        <v>0.8</v>
      </c>
      <c r="I39" s="49">
        <f t="shared" si="1"/>
        <v>5.4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">
      <c r="A40" s="50">
        <v>45</v>
      </c>
      <c r="B40" s="60">
        <v>107</v>
      </c>
      <c r="C40" s="60">
        <v>5</v>
      </c>
      <c r="D40" s="60">
        <v>14</v>
      </c>
      <c r="E40" s="51">
        <v>0.2</v>
      </c>
      <c r="F40" s="51"/>
      <c r="G40" s="51"/>
      <c r="H40" s="51">
        <v>0.8</v>
      </c>
      <c r="I40" s="49">
        <f t="shared" si="1"/>
        <v>5.6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">
      <c r="A41" s="50">
        <v>50</v>
      </c>
      <c r="B41" s="60">
        <v>121</v>
      </c>
      <c r="C41" s="60">
        <v>6</v>
      </c>
      <c r="D41" s="60">
        <v>14</v>
      </c>
      <c r="E41" s="51">
        <v>0.2</v>
      </c>
      <c r="F41" s="51"/>
      <c r="G41" s="51"/>
      <c r="H41" s="51">
        <v>0.8</v>
      </c>
      <c r="I41" s="53">
        <f t="shared" si="1"/>
        <v>5.6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">
      <c r="A42" s="50">
        <v>55</v>
      </c>
      <c r="B42" s="60">
        <v>135</v>
      </c>
      <c r="C42" s="60">
        <v>7</v>
      </c>
      <c r="D42" s="60">
        <v>14</v>
      </c>
      <c r="E42" s="51">
        <v>0.3</v>
      </c>
      <c r="F42" s="51"/>
      <c r="G42" s="51"/>
      <c r="H42" s="51">
        <v>0.7</v>
      </c>
      <c r="I42" s="53">
        <f t="shared" si="1"/>
        <v>5.6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">
      <c r="A43" s="50">
        <v>60</v>
      </c>
      <c r="B43" s="60">
        <v>148</v>
      </c>
      <c r="C43" s="60">
        <v>8</v>
      </c>
      <c r="D43" s="60">
        <v>14</v>
      </c>
      <c r="E43" s="51">
        <v>0.3</v>
      </c>
      <c r="F43" s="51"/>
      <c r="G43" s="51"/>
      <c r="H43" s="51">
        <v>0.7</v>
      </c>
      <c r="I43" s="49">
        <f t="shared" si="1"/>
        <v>5.4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">
      <c r="A44" s="50">
        <v>65</v>
      </c>
      <c r="B44" s="60">
        <v>161</v>
      </c>
      <c r="C44" s="60">
        <v>9</v>
      </c>
      <c r="D44" s="60">
        <v>14</v>
      </c>
      <c r="E44" s="51">
        <v>0.4</v>
      </c>
      <c r="F44" s="51"/>
      <c r="G44" s="51"/>
      <c r="H44" s="51">
        <v>0.6</v>
      </c>
      <c r="I44" s="49">
        <f t="shared" si="1"/>
        <v>5.4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">
      <c r="A45" s="50">
        <v>70</v>
      </c>
      <c r="B45" s="60">
        <v>172</v>
      </c>
      <c r="C45" s="60">
        <v>10</v>
      </c>
      <c r="D45" s="60">
        <v>14</v>
      </c>
      <c r="E45" s="51">
        <v>0.4</v>
      </c>
      <c r="F45" s="51"/>
      <c r="G45" s="51"/>
      <c r="H45" s="51">
        <v>0.6</v>
      </c>
      <c r="I45" s="49">
        <f t="shared" si="1"/>
        <v>5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">
      <c r="A46" s="50">
        <v>75</v>
      </c>
      <c r="B46" s="60">
        <v>183</v>
      </c>
      <c r="C46" s="60">
        <v>11</v>
      </c>
      <c r="D46" s="60">
        <v>14</v>
      </c>
      <c r="E46" s="51">
        <v>0.5</v>
      </c>
      <c r="F46" s="51"/>
      <c r="G46" s="51"/>
      <c r="H46" s="51">
        <v>0.5</v>
      </c>
      <c r="I46" s="49">
        <f t="shared" si="1"/>
        <v>5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">
      <c r="A47" s="50">
        <v>80</v>
      </c>
      <c r="B47" s="60">
        <v>192</v>
      </c>
      <c r="C47" s="60">
        <v>12</v>
      </c>
      <c r="D47" s="60">
        <v>14</v>
      </c>
      <c r="E47" s="51">
        <v>0.5</v>
      </c>
      <c r="F47" s="51"/>
      <c r="G47" s="51"/>
      <c r="H47" s="51">
        <v>0.5</v>
      </c>
      <c r="I47" s="49">
        <f t="shared" si="1"/>
        <v>4.5999999999999996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">
      <c r="A48" s="50">
        <v>85</v>
      </c>
      <c r="B48" s="60">
        <v>200</v>
      </c>
      <c r="C48" s="60">
        <v>13</v>
      </c>
      <c r="D48" s="60">
        <v>14</v>
      </c>
      <c r="E48" s="51">
        <v>0.6</v>
      </c>
      <c r="F48" s="51"/>
      <c r="G48" s="51"/>
      <c r="H48" s="51">
        <v>0.4</v>
      </c>
      <c r="I48" s="49">
        <f t="shared" si="1"/>
        <v>4.4000000000000004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">
      <c r="A49" s="50">
        <v>90</v>
      </c>
      <c r="B49" s="60">
        <v>207</v>
      </c>
      <c r="C49" s="60">
        <v>14</v>
      </c>
      <c r="D49" s="60">
        <v>14</v>
      </c>
      <c r="E49" s="51">
        <v>0.6</v>
      </c>
      <c r="F49" s="51"/>
      <c r="G49" s="51"/>
      <c r="H49" s="51">
        <v>0.4</v>
      </c>
      <c r="I49" s="49">
        <f t="shared" si="1"/>
        <v>4.2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">
      <c r="A50" s="50">
        <v>100</v>
      </c>
      <c r="B50" s="50">
        <v>216</v>
      </c>
      <c r="C50" s="50">
        <v>16</v>
      </c>
      <c r="D50" s="50">
        <v>14</v>
      </c>
      <c r="E50" s="51">
        <v>0.7</v>
      </c>
      <c r="F50" s="51"/>
      <c r="G50" s="51"/>
      <c r="H50" s="51">
        <v>0.3</v>
      </c>
      <c r="I50" s="49">
        <f t="shared" si="1"/>
        <v>2.2999999999999998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">
      <c r="A51" s="50">
        <v>110</v>
      </c>
      <c r="B51" s="50">
        <v>219</v>
      </c>
      <c r="C51" s="50">
        <v>18</v>
      </c>
      <c r="D51" s="50">
        <v>13</v>
      </c>
      <c r="E51" s="51">
        <v>0.7</v>
      </c>
      <c r="F51" s="51"/>
      <c r="G51" s="51"/>
      <c r="H51" s="51">
        <v>0.3</v>
      </c>
      <c r="I51" s="49">
        <f t="shared" si="1"/>
        <v>1.7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">
      <c r="A52" s="50">
        <v>120</v>
      </c>
      <c r="B52" s="50">
        <v>221</v>
      </c>
      <c r="C52" s="50">
        <v>20</v>
      </c>
      <c r="D52" s="50">
        <v>221</v>
      </c>
      <c r="E52" s="51">
        <v>0.8</v>
      </c>
      <c r="F52" s="51"/>
      <c r="G52" s="51"/>
      <c r="H52" s="51">
        <v>0.2</v>
      </c>
      <c r="I52" s="49">
        <f t="shared" si="1"/>
        <v>1.5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">
      <c r="A58" s="46" t="s">
        <v>166</v>
      </c>
      <c r="B58" s="52" t="str">
        <f>IF(B10="","",B10)</f>
        <v>Cormier</v>
      </c>
      <c r="D58" s="228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">
      <c r="A59" s="46"/>
      <c r="B59" s="95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">
      <c r="A60" s="4"/>
      <c r="B60" s="85" t="s">
        <v>185</v>
      </c>
      <c r="C60" s="260" t="s">
        <v>186</v>
      </c>
      <c r="D60" s="260"/>
      <c r="E60" s="261" t="s">
        <v>187</v>
      </c>
      <c r="F60" s="262"/>
      <c r="G60" s="262"/>
      <c r="H60" s="263"/>
      <c r="I60" s="94"/>
      <c r="J60" s="222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32" x14ac:dyDescent="0.2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3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">
      <c r="A62" s="50">
        <v>25</v>
      </c>
      <c r="B62" s="60">
        <v>30</v>
      </c>
      <c r="C62" s="60">
        <v>1</v>
      </c>
      <c r="D62" s="60">
        <v>0</v>
      </c>
      <c r="E62" s="51">
        <v>0</v>
      </c>
      <c r="F62" s="51"/>
      <c r="G62" s="51"/>
      <c r="H62" s="51">
        <v>1</v>
      </c>
      <c r="I62" s="53">
        <f>IFERROR(B62/A62,"")</f>
        <v>1.2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">
      <c r="A63" s="50">
        <v>30</v>
      </c>
      <c r="B63" s="60">
        <v>54</v>
      </c>
      <c r="C63" s="60">
        <v>2</v>
      </c>
      <c r="D63" s="60">
        <v>0</v>
      </c>
      <c r="E63" s="51">
        <v>0</v>
      </c>
      <c r="F63" s="51"/>
      <c r="G63" s="51"/>
      <c r="H63" s="51">
        <v>1</v>
      </c>
      <c r="I63" s="49">
        <f>IF(A63&lt;&gt;0,(B63-(B62-D62))/(A63-A62),"")</f>
        <v>4.8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">
      <c r="A64" s="50">
        <v>35</v>
      </c>
      <c r="B64" s="60">
        <v>79</v>
      </c>
      <c r="C64" s="60">
        <v>3</v>
      </c>
      <c r="D64" s="60">
        <v>13</v>
      </c>
      <c r="E64" s="51">
        <v>0</v>
      </c>
      <c r="F64" s="51"/>
      <c r="G64" s="51"/>
      <c r="H64" s="51">
        <v>1</v>
      </c>
      <c r="I64" s="49">
        <f>IF(A64&lt;&gt;0,(B64-(B63-D63))/(A64-A63),"")</f>
        <v>5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">
      <c r="A65" s="50">
        <v>40</v>
      </c>
      <c r="B65" s="60">
        <v>93</v>
      </c>
      <c r="C65" s="60">
        <v>4</v>
      </c>
      <c r="D65" s="60">
        <v>14</v>
      </c>
      <c r="E65" s="51">
        <v>0.2</v>
      </c>
      <c r="F65" s="51"/>
      <c r="G65" s="51"/>
      <c r="H65" s="51">
        <v>0.8</v>
      </c>
      <c r="I65" s="49">
        <f>IF(A65&lt;&gt;0,(B65-(B64-D64))/(A65-A64),"")</f>
        <v>5.4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">
      <c r="A66" s="50">
        <v>45</v>
      </c>
      <c r="B66" s="60">
        <v>107</v>
      </c>
      <c r="C66" s="60">
        <v>5</v>
      </c>
      <c r="D66" s="60">
        <v>14</v>
      </c>
      <c r="E66" s="51">
        <v>0.3</v>
      </c>
      <c r="F66" s="51"/>
      <c r="G66" s="51"/>
      <c r="H66" s="51">
        <v>0.7</v>
      </c>
      <c r="I66" s="49">
        <f t="shared" ref="I66:I81" si="2">IF(A66&lt;&gt;0,(B66-(B65-D65))/(A66-A65),"")</f>
        <v>5.6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">
      <c r="A67" s="50">
        <v>50</v>
      </c>
      <c r="B67" s="60">
        <v>121</v>
      </c>
      <c r="C67" s="60">
        <v>6</v>
      </c>
      <c r="D67" s="60">
        <v>14</v>
      </c>
      <c r="E67" s="51">
        <v>0.4</v>
      </c>
      <c r="F67" s="51"/>
      <c r="G67" s="51"/>
      <c r="H67" s="51">
        <v>0.6</v>
      </c>
      <c r="I67" s="49">
        <f t="shared" si="2"/>
        <v>5.6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">
      <c r="A68" s="50">
        <v>55</v>
      </c>
      <c r="B68" s="60">
        <v>135</v>
      </c>
      <c r="C68" s="60">
        <v>7</v>
      </c>
      <c r="D68" s="60">
        <v>14</v>
      </c>
      <c r="E68" s="51">
        <v>0.5</v>
      </c>
      <c r="F68" s="51"/>
      <c r="G68" s="51"/>
      <c r="H68" s="51">
        <v>0.5</v>
      </c>
      <c r="I68" s="49">
        <f t="shared" si="2"/>
        <v>5.6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">
      <c r="A69" s="50">
        <v>60</v>
      </c>
      <c r="B69" s="60">
        <v>148</v>
      </c>
      <c r="C69" s="60">
        <v>8</v>
      </c>
      <c r="D69" s="60">
        <v>14</v>
      </c>
      <c r="E69" s="51">
        <v>0.6</v>
      </c>
      <c r="F69" s="51"/>
      <c r="G69" s="51"/>
      <c r="H69" s="51">
        <v>0.4</v>
      </c>
      <c r="I69" s="49">
        <f t="shared" si="2"/>
        <v>5.4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">
      <c r="A70" s="50">
        <v>65</v>
      </c>
      <c r="B70" s="60">
        <v>161</v>
      </c>
      <c r="C70" s="60">
        <v>9</v>
      </c>
      <c r="D70" s="60">
        <v>14</v>
      </c>
      <c r="E70" s="51">
        <v>0.6</v>
      </c>
      <c r="F70" s="51"/>
      <c r="G70" s="51"/>
      <c r="H70" s="51">
        <v>0.4</v>
      </c>
      <c r="I70" s="49">
        <f t="shared" si="2"/>
        <v>5.4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">
      <c r="A71" s="50">
        <v>70</v>
      </c>
      <c r="B71" s="60">
        <v>172</v>
      </c>
      <c r="C71" s="60">
        <v>10</v>
      </c>
      <c r="D71" s="60">
        <v>14</v>
      </c>
      <c r="E71" s="51">
        <v>0.7</v>
      </c>
      <c r="F71" s="51"/>
      <c r="G71" s="51"/>
      <c r="H71" s="51">
        <v>0.3</v>
      </c>
      <c r="I71" s="49">
        <f t="shared" si="2"/>
        <v>5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">
      <c r="A72" s="50">
        <v>75</v>
      </c>
      <c r="B72" s="60">
        <v>183</v>
      </c>
      <c r="C72" s="60">
        <v>11</v>
      </c>
      <c r="D72" s="60">
        <v>14</v>
      </c>
      <c r="E72" s="51">
        <v>0.7</v>
      </c>
      <c r="F72" s="51"/>
      <c r="G72" s="51"/>
      <c r="H72" s="51">
        <v>0.3</v>
      </c>
      <c r="I72" s="49">
        <f t="shared" si="2"/>
        <v>5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">
      <c r="A73" s="50">
        <v>80</v>
      </c>
      <c r="B73" s="60">
        <v>192</v>
      </c>
      <c r="C73" s="60">
        <v>12</v>
      </c>
      <c r="D73" s="60">
        <v>192</v>
      </c>
      <c r="E73" s="51">
        <v>0.8</v>
      </c>
      <c r="F73" s="51"/>
      <c r="G73" s="51"/>
      <c r="H73" s="51">
        <v>0.2</v>
      </c>
      <c r="I73" s="49">
        <f t="shared" si="2"/>
        <v>4.5999999999999996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">
      <c r="A84" s="46" t="s">
        <v>167</v>
      </c>
      <c r="B84" s="52" t="str">
        <f>IF(B11="","",B11)</f>
        <v>Alisier Torminal</v>
      </c>
      <c r="D84" s="228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">
      <c r="A85" s="46"/>
      <c r="B85" s="95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">
      <c r="A86" s="4"/>
      <c r="B86" s="85" t="s">
        <v>185</v>
      </c>
      <c r="C86" s="260" t="s">
        <v>186</v>
      </c>
      <c r="D86" s="260"/>
      <c r="E86" s="261" t="s">
        <v>187</v>
      </c>
      <c r="F86" s="262"/>
      <c r="G86" s="262"/>
      <c r="H86" s="263"/>
      <c r="I86" s="9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32" x14ac:dyDescent="0.2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">
      <c r="A88" s="50">
        <v>25</v>
      </c>
      <c r="B88" s="60">
        <v>30</v>
      </c>
      <c r="C88" s="60">
        <v>1</v>
      </c>
      <c r="D88" s="60">
        <v>0</v>
      </c>
      <c r="E88" s="51">
        <v>0</v>
      </c>
      <c r="F88" s="51"/>
      <c r="G88" s="51"/>
      <c r="H88" s="51">
        <v>1</v>
      </c>
      <c r="I88" s="53">
        <f>IFERROR(B88/A88,"")</f>
        <v>1.2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">
      <c r="A89" s="50">
        <v>30</v>
      </c>
      <c r="B89" s="60">
        <v>54</v>
      </c>
      <c r="C89" s="60">
        <v>2</v>
      </c>
      <c r="D89" s="60">
        <v>0</v>
      </c>
      <c r="E89" s="51">
        <v>0</v>
      </c>
      <c r="F89" s="51"/>
      <c r="G89" s="51"/>
      <c r="H89" s="51">
        <v>1</v>
      </c>
      <c r="I89" s="53">
        <f t="shared" ref="I89:I107" si="3">IF(A89&lt;&gt;0,(B89-(B88-D88))/(A89-A88),"")</f>
        <v>4.8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">
      <c r="A90" s="50">
        <v>35</v>
      </c>
      <c r="B90" s="60">
        <v>79</v>
      </c>
      <c r="C90" s="60">
        <v>3</v>
      </c>
      <c r="D90" s="60">
        <v>13</v>
      </c>
      <c r="E90" s="51">
        <v>0</v>
      </c>
      <c r="F90" s="51"/>
      <c r="G90" s="51"/>
      <c r="H90" s="51">
        <v>1</v>
      </c>
      <c r="I90" s="53">
        <f t="shared" si="3"/>
        <v>5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">
      <c r="A91" s="50">
        <v>40</v>
      </c>
      <c r="B91" s="60">
        <v>93</v>
      </c>
      <c r="C91" s="60">
        <v>4</v>
      </c>
      <c r="D91" s="60">
        <v>14</v>
      </c>
      <c r="E91" s="51">
        <v>0.2</v>
      </c>
      <c r="F91" s="51"/>
      <c r="G91" s="51"/>
      <c r="H91" s="51">
        <v>0.8</v>
      </c>
      <c r="I91" s="53">
        <f t="shared" si="3"/>
        <v>5.4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">
      <c r="A92" s="50">
        <v>45</v>
      </c>
      <c r="B92" s="60">
        <v>107</v>
      </c>
      <c r="C92" s="60">
        <v>5</v>
      </c>
      <c r="D92" s="60">
        <v>14</v>
      </c>
      <c r="E92" s="51">
        <v>0.3</v>
      </c>
      <c r="F92" s="51"/>
      <c r="G92" s="51"/>
      <c r="H92" s="51">
        <v>0.7</v>
      </c>
      <c r="I92" s="53">
        <f t="shared" si="3"/>
        <v>5.6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">
      <c r="A93" s="50">
        <v>50</v>
      </c>
      <c r="B93" s="60">
        <v>121</v>
      </c>
      <c r="C93" s="60">
        <v>6</v>
      </c>
      <c r="D93" s="60">
        <v>14</v>
      </c>
      <c r="E93" s="51">
        <v>0.4</v>
      </c>
      <c r="F93" s="51"/>
      <c r="G93" s="51"/>
      <c r="H93" s="51">
        <v>0.6</v>
      </c>
      <c r="I93" s="53">
        <f t="shared" si="3"/>
        <v>5.6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">
      <c r="A94" s="50">
        <v>55</v>
      </c>
      <c r="B94" s="60">
        <v>135</v>
      </c>
      <c r="C94" s="60">
        <v>7</v>
      </c>
      <c r="D94" s="60">
        <v>14</v>
      </c>
      <c r="E94" s="51">
        <v>0.5</v>
      </c>
      <c r="F94" s="51"/>
      <c r="G94" s="51"/>
      <c r="H94" s="51">
        <v>0.5</v>
      </c>
      <c r="I94" s="53">
        <f t="shared" si="3"/>
        <v>5.6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">
      <c r="A95" s="50">
        <v>60</v>
      </c>
      <c r="B95" s="60">
        <v>148</v>
      </c>
      <c r="C95" s="60">
        <v>8</v>
      </c>
      <c r="D95" s="60">
        <v>14</v>
      </c>
      <c r="E95" s="51">
        <v>0.6</v>
      </c>
      <c r="F95" s="51"/>
      <c r="G95" s="51"/>
      <c r="H95" s="51">
        <v>0.4</v>
      </c>
      <c r="I95" s="53">
        <f t="shared" si="3"/>
        <v>5.4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">
      <c r="A96" s="50">
        <v>65</v>
      </c>
      <c r="B96" s="60">
        <v>161</v>
      </c>
      <c r="C96" s="60">
        <v>9</v>
      </c>
      <c r="D96" s="60">
        <v>14</v>
      </c>
      <c r="E96" s="51">
        <v>0.6</v>
      </c>
      <c r="F96" s="51"/>
      <c r="G96" s="51"/>
      <c r="H96" s="51">
        <v>0.4</v>
      </c>
      <c r="I96" s="53">
        <f t="shared" si="3"/>
        <v>5.4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">
      <c r="A97" s="50">
        <v>70</v>
      </c>
      <c r="B97" s="60">
        <v>172</v>
      </c>
      <c r="C97" s="60">
        <v>10</v>
      </c>
      <c r="D97" s="60">
        <v>14</v>
      </c>
      <c r="E97" s="51">
        <v>0.7</v>
      </c>
      <c r="F97" s="51"/>
      <c r="G97" s="51"/>
      <c r="H97" s="51">
        <v>0.3</v>
      </c>
      <c r="I97" s="53">
        <f t="shared" si="3"/>
        <v>5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">
      <c r="A98" s="50">
        <v>75</v>
      </c>
      <c r="B98" s="60">
        <v>183</v>
      </c>
      <c r="C98" s="60">
        <v>11</v>
      </c>
      <c r="D98" s="60">
        <v>14</v>
      </c>
      <c r="E98" s="51">
        <v>0.7</v>
      </c>
      <c r="F98" s="51"/>
      <c r="G98" s="51"/>
      <c r="H98" s="51">
        <v>0.3</v>
      </c>
      <c r="I98" s="53">
        <f t="shared" si="3"/>
        <v>5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">
      <c r="A99" s="50">
        <v>80</v>
      </c>
      <c r="B99" s="60">
        <v>192</v>
      </c>
      <c r="C99" s="60">
        <v>12</v>
      </c>
      <c r="D99" s="60">
        <v>192</v>
      </c>
      <c r="E99" s="51">
        <v>0.8</v>
      </c>
      <c r="F99" s="51"/>
      <c r="G99" s="51"/>
      <c r="H99" s="51">
        <v>0.2</v>
      </c>
      <c r="I99" s="53">
        <f t="shared" si="3"/>
        <v>4.5999999999999996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">
      <c r="A110" s="46" t="s">
        <v>168</v>
      </c>
      <c r="B110" s="52" t="str">
        <f>IF(B12="","",B12)</f>
        <v>Chêne sessile</v>
      </c>
      <c r="D110" s="228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">
      <c r="A111" s="46"/>
      <c r="B111" s="95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">
      <c r="A112" s="4"/>
      <c r="B112" s="85" t="s">
        <v>185</v>
      </c>
      <c r="C112" s="260" t="s">
        <v>186</v>
      </c>
      <c r="D112" s="260"/>
      <c r="E112" s="261" t="s">
        <v>187</v>
      </c>
      <c r="F112" s="262"/>
      <c r="G112" s="262"/>
      <c r="H112" s="263"/>
      <c r="I112" s="9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32" x14ac:dyDescent="0.2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">
      <c r="A114" s="50">
        <v>25</v>
      </c>
      <c r="B114" s="60">
        <v>30</v>
      </c>
      <c r="C114" s="60">
        <v>1</v>
      </c>
      <c r="D114" s="60">
        <v>0</v>
      </c>
      <c r="E114" s="51">
        <v>0</v>
      </c>
      <c r="F114" s="51"/>
      <c r="G114" s="51"/>
      <c r="H114" s="51">
        <v>1</v>
      </c>
      <c r="I114" s="53">
        <f>IFERROR(B114/A114,"")</f>
        <v>1.2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">
      <c r="A115" s="50">
        <v>30</v>
      </c>
      <c r="B115" s="60">
        <v>54</v>
      </c>
      <c r="C115" s="60">
        <v>2</v>
      </c>
      <c r="D115" s="60">
        <v>0</v>
      </c>
      <c r="E115" s="51">
        <v>0</v>
      </c>
      <c r="F115" s="51"/>
      <c r="G115" s="51"/>
      <c r="H115" s="51">
        <v>1</v>
      </c>
      <c r="I115" s="53">
        <f t="shared" ref="I115:I133" si="4">IF(A115&lt;&gt;0,(B115-(B114-D114))/(A115-A114),"")</f>
        <v>4.8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">
      <c r="A116" s="50">
        <v>35</v>
      </c>
      <c r="B116" s="60">
        <v>79</v>
      </c>
      <c r="C116" s="60">
        <v>3</v>
      </c>
      <c r="D116" s="60">
        <v>13</v>
      </c>
      <c r="E116" s="51">
        <v>0</v>
      </c>
      <c r="F116" s="51"/>
      <c r="G116" s="51"/>
      <c r="H116" s="51">
        <v>1</v>
      </c>
      <c r="I116" s="53">
        <f t="shared" si="4"/>
        <v>5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">
      <c r="A117" s="50">
        <v>40</v>
      </c>
      <c r="B117" s="60">
        <v>93</v>
      </c>
      <c r="C117" s="60">
        <v>4</v>
      </c>
      <c r="D117" s="60">
        <v>14</v>
      </c>
      <c r="E117" s="51">
        <v>0.2</v>
      </c>
      <c r="F117" s="51"/>
      <c r="G117" s="51"/>
      <c r="H117" s="51">
        <v>0.8</v>
      </c>
      <c r="I117" s="53">
        <f t="shared" si="4"/>
        <v>5.4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">
      <c r="A118" s="50">
        <v>45</v>
      </c>
      <c r="B118" s="60">
        <v>107</v>
      </c>
      <c r="C118" s="60">
        <v>5</v>
      </c>
      <c r="D118" s="60">
        <v>14</v>
      </c>
      <c r="E118" s="51">
        <v>0.3</v>
      </c>
      <c r="F118" s="51"/>
      <c r="G118" s="51"/>
      <c r="H118" s="51">
        <v>0.7</v>
      </c>
      <c r="I118" s="53">
        <f t="shared" si="4"/>
        <v>5.6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">
      <c r="A119" s="50">
        <v>50</v>
      </c>
      <c r="B119" s="60">
        <v>121</v>
      </c>
      <c r="C119" s="60">
        <v>6</v>
      </c>
      <c r="D119" s="60">
        <v>14</v>
      </c>
      <c r="E119" s="51">
        <v>0.4</v>
      </c>
      <c r="F119" s="51"/>
      <c r="G119" s="51"/>
      <c r="H119" s="51">
        <v>0.6</v>
      </c>
      <c r="I119" s="53">
        <f t="shared" si="4"/>
        <v>5.6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">
      <c r="A120" s="50">
        <v>55</v>
      </c>
      <c r="B120" s="60">
        <v>135</v>
      </c>
      <c r="C120" s="60">
        <v>7</v>
      </c>
      <c r="D120" s="60">
        <v>14</v>
      </c>
      <c r="E120" s="51">
        <v>0.5</v>
      </c>
      <c r="F120" s="51"/>
      <c r="G120" s="51"/>
      <c r="H120" s="51">
        <v>0.5</v>
      </c>
      <c r="I120" s="53">
        <f t="shared" si="4"/>
        <v>5.6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">
      <c r="A121" s="50">
        <v>60</v>
      </c>
      <c r="B121" s="60">
        <v>148</v>
      </c>
      <c r="C121" s="60">
        <v>8</v>
      </c>
      <c r="D121" s="60">
        <v>14</v>
      </c>
      <c r="E121" s="51">
        <v>0.6</v>
      </c>
      <c r="F121" s="51"/>
      <c r="G121" s="51"/>
      <c r="H121" s="51">
        <v>0.4</v>
      </c>
      <c r="I121" s="53">
        <f t="shared" si="4"/>
        <v>5.4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">
      <c r="A122" s="50">
        <v>65</v>
      </c>
      <c r="B122" s="60">
        <v>161</v>
      </c>
      <c r="C122" s="60">
        <v>9</v>
      </c>
      <c r="D122" s="60">
        <v>14</v>
      </c>
      <c r="E122" s="51">
        <v>0.6</v>
      </c>
      <c r="F122" s="51"/>
      <c r="G122" s="51"/>
      <c r="H122" s="51">
        <v>0.4</v>
      </c>
      <c r="I122" s="53">
        <f t="shared" si="4"/>
        <v>5.4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">
      <c r="A123" s="50">
        <v>70</v>
      </c>
      <c r="B123" s="60">
        <v>172</v>
      </c>
      <c r="C123" s="60">
        <v>10</v>
      </c>
      <c r="D123" s="60">
        <v>14</v>
      </c>
      <c r="E123" s="51">
        <v>0.7</v>
      </c>
      <c r="F123" s="51"/>
      <c r="G123" s="51"/>
      <c r="H123" s="51">
        <v>0.3</v>
      </c>
      <c r="I123" s="53">
        <f t="shared" si="4"/>
        <v>5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">
      <c r="A124" s="50">
        <v>75</v>
      </c>
      <c r="B124" s="60">
        <v>183</v>
      </c>
      <c r="C124" s="60">
        <v>11</v>
      </c>
      <c r="D124" s="60">
        <v>14</v>
      </c>
      <c r="E124" s="51">
        <v>0.7</v>
      </c>
      <c r="F124" s="51"/>
      <c r="G124" s="51"/>
      <c r="H124" s="51">
        <v>0.3</v>
      </c>
      <c r="I124" s="53">
        <f t="shared" si="4"/>
        <v>5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">
      <c r="A125" s="50">
        <v>80</v>
      </c>
      <c r="B125" s="60">
        <v>192</v>
      </c>
      <c r="C125" s="60">
        <v>12</v>
      </c>
      <c r="D125" s="60">
        <v>192</v>
      </c>
      <c r="E125" s="51">
        <v>0.8</v>
      </c>
      <c r="F125" s="51"/>
      <c r="G125" s="51"/>
      <c r="H125" s="51">
        <v>0.2</v>
      </c>
      <c r="I125" s="53">
        <f t="shared" si="4"/>
        <v>4.5999999999999996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">
      <c r="A136" s="46" t="s">
        <v>169</v>
      </c>
      <c r="B136" s="52" t="str">
        <f>IF(B13="","",B13)</f>
        <v>Cormier</v>
      </c>
      <c r="D136" s="228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">
      <c r="A137" s="46"/>
      <c r="B137" s="95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">
      <c r="A138" s="4"/>
      <c r="B138" s="85" t="s">
        <v>185</v>
      </c>
      <c r="C138" s="260" t="s">
        <v>186</v>
      </c>
      <c r="D138" s="260"/>
      <c r="E138" s="261" t="s">
        <v>187</v>
      </c>
      <c r="F138" s="262"/>
      <c r="G138" s="262"/>
      <c r="H138" s="263"/>
      <c r="I138" s="9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32" x14ac:dyDescent="0.2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">
      <c r="A140" s="50">
        <v>25</v>
      </c>
      <c r="B140" s="60">
        <v>30</v>
      </c>
      <c r="C140" s="60">
        <v>1</v>
      </c>
      <c r="D140" s="60">
        <v>0</v>
      </c>
      <c r="E140" s="51">
        <v>0</v>
      </c>
      <c r="F140" s="51"/>
      <c r="G140" s="51"/>
      <c r="H140" s="51">
        <v>1</v>
      </c>
      <c r="I140" s="57">
        <f>IFERROR(B140/A140,"")</f>
        <v>1.2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">
      <c r="A141" s="50">
        <v>30</v>
      </c>
      <c r="B141" s="60">
        <v>54</v>
      </c>
      <c r="C141" s="60">
        <v>2</v>
      </c>
      <c r="D141" s="60">
        <v>0</v>
      </c>
      <c r="E141" s="51">
        <v>0</v>
      </c>
      <c r="F141" s="51"/>
      <c r="G141" s="51"/>
      <c r="H141" s="51">
        <v>1</v>
      </c>
      <c r="I141" s="57">
        <f t="shared" ref="I141:I159" si="5">IF(A141&lt;&gt;0,(B141-(B140-D140))/(A141-A140),"")</f>
        <v>4.8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">
      <c r="A142" s="50">
        <v>35</v>
      </c>
      <c r="B142" s="60">
        <v>79</v>
      </c>
      <c r="C142" s="60">
        <v>3</v>
      </c>
      <c r="D142" s="60">
        <v>13</v>
      </c>
      <c r="E142" s="51">
        <v>0</v>
      </c>
      <c r="F142" s="51"/>
      <c r="G142" s="51"/>
      <c r="H142" s="51">
        <v>1</v>
      </c>
      <c r="I142" s="57">
        <f t="shared" si="5"/>
        <v>5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">
      <c r="A143" s="50">
        <v>40</v>
      </c>
      <c r="B143" s="60">
        <v>93</v>
      </c>
      <c r="C143" s="60">
        <v>4</v>
      </c>
      <c r="D143" s="60">
        <v>14</v>
      </c>
      <c r="E143" s="51">
        <v>0.2</v>
      </c>
      <c r="F143" s="51"/>
      <c r="G143" s="51"/>
      <c r="H143" s="51">
        <v>0.8</v>
      </c>
      <c r="I143" s="57">
        <f t="shared" si="5"/>
        <v>5.4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">
      <c r="A144" s="50">
        <v>45</v>
      </c>
      <c r="B144" s="60">
        <v>107</v>
      </c>
      <c r="C144" s="60">
        <v>5</v>
      </c>
      <c r="D144" s="60">
        <v>14</v>
      </c>
      <c r="E144" s="51">
        <v>0.3</v>
      </c>
      <c r="F144" s="51"/>
      <c r="G144" s="51"/>
      <c r="H144" s="51">
        <v>0.7</v>
      </c>
      <c r="I144" s="57">
        <f t="shared" si="5"/>
        <v>5.6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">
      <c r="A145" s="50">
        <v>50</v>
      </c>
      <c r="B145" s="60">
        <v>121</v>
      </c>
      <c r="C145" s="60">
        <v>6</v>
      </c>
      <c r="D145" s="60">
        <v>14</v>
      </c>
      <c r="E145" s="51">
        <v>0.4</v>
      </c>
      <c r="F145" s="51"/>
      <c r="G145" s="51"/>
      <c r="H145" s="51">
        <v>0.6</v>
      </c>
      <c r="I145" s="57">
        <f t="shared" si="5"/>
        <v>5.6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">
      <c r="A146" s="50">
        <v>55</v>
      </c>
      <c r="B146" s="60">
        <v>135</v>
      </c>
      <c r="C146" s="60">
        <v>7</v>
      </c>
      <c r="D146" s="60">
        <v>14</v>
      </c>
      <c r="E146" s="51">
        <v>0.5</v>
      </c>
      <c r="F146" s="51"/>
      <c r="G146" s="51"/>
      <c r="H146" s="51">
        <v>0.5</v>
      </c>
      <c r="I146" s="57">
        <f t="shared" si="5"/>
        <v>5.6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">
      <c r="A147" s="50">
        <v>60</v>
      </c>
      <c r="B147" s="60">
        <v>148</v>
      </c>
      <c r="C147" s="60">
        <v>8</v>
      </c>
      <c r="D147" s="60">
        <v>14</v>
      </c>
      <c r="E147" s="51">
        <v>0.6</v>
      </c>
      <c r="F147" s="51"/>
      <c r="G147" s="51"/>
      <c r="H147" s="51">
        <v>0.4</v>
      </c>
      <c r="I147" s="57">
        <f>IF(A147&lt;&gt;0,(B147-(B146-D146))/(A147-A146),"")</f>
        <v>5.4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">
      <c r="A148" s="50">
        <v>65</v>
      </c>
      <c r="B148" s="60">
        <v>161</v>
      </c>
      <c r="C148" s="60">
        <v>9</v>
      </c>
      <c r="D148" s="60">
        <v>14</v>
      </c>
      <c r="E148" s="51">
        <v>0.6</v>
      </c>
      <c r="F148" s="51"/>
      <c r="G148" s="51"/>
      <c r="H148" s="51">
        <v>0.4</v>
      </c>
      <c r="I148" s="57">
        <f t="shared" si="5"/>
        <v>5.4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">
      <c r="A149" s="50">
        <v>70</v>
      </c>
      <c r="B149" s="60">
        <v>172</v>
      </c>
      <c r="C149" s="60">
        <v>10</v>
      </c>
      <c r="D149" s="60">
        <v>14</v>
      </c>
      <c r="E149" s="51">
        <v>0.7</v>
      </c>
      <c r="F149" s="51"/>
      <c r="G149" s="51"/>
      <c r="H149" s="51">
        <v>0.3</v>
      </c>
      <c r="I149" s="57">
        <f t="shared" si="5"/>
        <v>5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">
      <c r="A150" s="50">
        <v>75</v>
      </c>
      <c r="B150" s="60">
        <v>183</v>
      </c>
      <c r="C150" s="60">
        <v>11</v>
      </c>
      <c r="D150" s="60">
        <v>14</v>
      </c>
      <c r="E150" s="51">
        <v>0.7</v>
      </c>
      <c r="F150" s="51"/>
      <c r="G150" s="51"/>
      <c r="H150" s="51">
        <v>0.3</v>
      </c>
      <c r="I150" s="57">
        <f t="shared" si="5"/>
        <v>5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">
      <c r="A151" s="50">
        <v>80</v>
      </c>
      <c r="B151" s="60">
        <v>192</v>
      </c>
      <c r="C151" s="60">
        <v>12</v>
      </c>
      <c r="D151" s="60">
        <v>192</v>
      </c>
      <c r="E151" s="51">
        <v>0.8</v>
      </c>
      <c r="F151" s="51"/>
      <c r="G151" s="51"/>
      <c r="H151" s="51">
        <v>0.2</v>
      </c>
      <c r="I151" s="57">
        <f t="shared" si="5"/>
        <v>4.5999999999999996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">
      <c r="A162" s="46" t="s">
        <v>170</v>
      </c>
      <c r="B162" s="52" t="str">
        <f>IF(B14="","",B14)</f>
        <v>Pin laricio</v>
      </c>
      <c r="D162" s="228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">
      <c r="A163" s="46"/>
      <c r="B163" s="95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">
      <c r="A164" s="4"/>
      <c r="B164" s="85" t="s">
        <v>185</v>
      </c>
      <c r="C164" s="260" t="s">
        <v>186</v>
      </c>
      <c r="D164" s="260"/>
      <c r="E164" s="261" t="s">
        <v>187</v>
      </c>
      <c r="F164" s="262"/>
      <c r="G164" s="262"/>
      <c r="H164" s="263"/>
      <c r="I164" s="9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32" x14ac:dyDescent="0.2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">
      <c r="A166" s="50">
        <v>15</v>
      </c>
      <c r="B166" s="60">
        <v>57</v>
      </c>
      <c r="C166" s="60">
        <v>1</v>
      </c>
      <c r="D166" s="60">
        <v>0</v>
      </c>
      <c r="E166" s="51">
        <v>0.2</v>
      </c>
      <c r="F166" s="51">
        <v>0.45</v>
      </c>
      <c r="G166" s="51">
        <v>0.35</v>
      </c>
      <c r="H166" s="51"/>
      <c r="I166" s="49">
        <f>IFERROR(B166/A166,"")</f>
        <v>3.8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">
      <c r="A167" s="50">
        <v>20</v>
      </c>
      <c r="B167" s="60">
        <v>122</v>
      </c>
      <c r="C167" s="60">
        <v>2</v>
      </c>
      <c r="D167" s="60">
        <v>23</v>
      </c>
      <c r="E167" s="51">
        <v>0.2</v>
      </c>
      <c r="F167" s="51">
        <v>0.45</v>
      </c>
      <c r="G167" s="51">
        <v>0.35</v>
      </c>
      <c r="H167" s="51"/>
      <c r="I167" s="49">
        <f t="shared" ref="I167:I185" si="6">IF(A167&lt;&gt;0,(B167-(B166-D166))/(A167-A166),"")</f>
        <v>13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">
      <c r="A168" s="50">
        <v>25</v>
      </c>
      <c r="B168" s="60">
        <v>176</v>
      </c>
      <c r="C168" s="60">
        <v>3</v>
      </c>
      <c r="D168" s="60">
        <v>42</v>
      </c>
      <c r="E168" s="51">
        <v>0.3</v>
      </c>
      <c r="F168" s="51">
        <v>0.39</v>
      </c>
      <c r="G168" s="51">
        <v>0.31</v>
      </c>
      <c r="H168" s="51"/>
      <c r="I168" s="49">
        <f t="shared" si="6"/>
        <v>15.4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">
      <c r="A169" s="50">
        <v>30</v>
      </c>
      <c r="B169" s="60">
        <v>215</v>
      </c>
      <c r="C169" s="60">
        <v>4</v>
      </c>
      <c r="D169" s="60">
        <v>42</v>
      </c>
      <c r="E169" s="51">
        <v>0.4</v>
      </c>
      <c r="F169" s="51">
        <v>0.34</v>
      </c>
      <c r="G169" s="51">
        <v>0.26</v>
      </c>
      <c r="H169" s="51"/>
      <c r="I169" s="49">
        <f t="shared" si="6"/>
        <v>16.2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">
      <c r="A170" s="50">
        <v>35</v>
      </c>
      <c r="B170" s="60">
        <v>255</v>
      </c>
      <c r="C170" s="60">
        <v>5</v>
      </c>
      <c r="D170" s="60">
        <v>42</v>
      </c>
      <c r="E170" s="51">
        <v>0.4</v>
      </c>
      <c r="F170" s="51">
        <v>0.34</v>
      </c>
      <c r="G170" s="51">
        <v>0.26</v>
      </c>
      <c r="H170" s="51"/>
      <c r="I170" s="49">
        <f t="shared" si="6"/>
        <v>16.399999999999999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">
      <c r="A171" s="50">
        <v>40</v>
      </c>
      <c r="B171" s="60">
        <v>294</v>
      </c>
      <c r="C171" s="60">
        <v>6</v>
      </c>
      <c r="D171" s="60">
        <v>42</v>
      </c>
      <c r="E171" s="51">
        <v>0.5</v>
      </c>
      <c r="F171" s="51">
        <v>0.28000000000000003</v>
      </c>
      <c r="G171" s="51">
        <v>0.22</v>
      </c>
      <c r="H171" s="51"/>
      <c r="I171" s="49">
        <f t="shared" si="6"/>
        <v>16.2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">
      <c r="A172" s="50">
        <v>45</v>
      </c>
      <c r="B172" s="60">
        <v>329</v>
      </c>
      <c r="C172" s="60">
        <v>7</v>
      </c>
      <c r="D172" s="60">
        <v>42</v>
      </c>
      <c r="E172" s="51">
        <v>0.5</v>
      </c>
      <c r="F172" s="51">
        <v>0.28000000000000003</v>
      </c>
      <c r="G172" s="51">
        <v>0.22</v>
      </c>
      <c r="H172" s="51"/>
      <c r="I172" s="49">
        <f t="shared" si="6"/>
        <v>15.4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">
      <c r="A173" s="50">
        <v>50</v>
      </c>
      <c r="B173" s="50">
        <v>359</v>
      </c>
      <c r="C173" s="50">
        <v>8</v>
      </c>
      <c r="D173" s="50">
        <v>40</v>
      </c>
      <c r="E173" s="51">
        <v>0.6</v>
      </c>
      <c r="F173" s="51">
        <v>0.22</v>
      </c>
      <c r="G173" s="51">
        <v>0.18</v>
      </c>
      <c r="H173" s="51"/>
      <c r="I173" s="49">
        <f t="shared" si="6"/>
        <v>14.4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">
      <c r="A174" s="50">
        <v>55</v>
      </c>
      <c r="B174" s="50">
        <v>385</v>
      </c>
      <c r="C174" s="50">
        <v>9</v>
      </c>
      <c r="D174" s="50">
        <v>34</v>
      </c>
      <c r="E174" s="51">
        <v>0.6</v>
      </c>
      <c r="F174" s="51">
        <v>0.22</v>
      </c>
      <c r="G174" s="51">
        <v>0.18</v>
      </c>
      <c r="H174" s="51"/>
      <c r="I174" s="49">
        <f t="shared" si="6"/>
        <v>13.2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">
      <c r="A175" s="50">
        <v>60</v>
      </c>
      <c r="B175" s="50">
        <v>413</v>
      </c>
      <c r="C175" s="50">
        <v>10</v>
      </c>
      <c r="D175" s="50">
        <v>30</v>
      </c>
      <c r="E175" s="51">
        <v>0.7</v>
      </c>
      <c r="F175" s="51">
        <v>0.17</v>
      </c>
      <c r="G175" s="51">
        <v>0.13</v>
      </c>
      <c r="H175" s="51"/>
      <c r="I175" s="49">
        <f t="shared" si="6"/>
        <v>12.4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">
      <c r="A176" s="50">
        <v>65</v>
      </c>
      <c r="B176" s="50">
        <v>440</v>
      </c>
      <c r="C176" s="50">
        <v>11</v>
      </c>
      <c r="D176" s="50">
        <v>26</v>
      </c>
      <c r="E176" s="51">
        <v>0.8</v>
      </c>
      <c r="F176" s="51">
        <v>0.11</v>
      </c>
      <c r="G176" s="51">
        <v>0.09</v>
      </c>
      <c r="H176" s="51"/>
      <c r="I176" s="49">
        <f t="shared" si="6"/>
        <v>11.4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">
      <c r="A177" s="50">
        <v>70</v>
      </c>
      <c r="B177" s="50">
        <v>464</v>
      </c>
      <c r="C177" s="50">
        <v>12</v>
      </c>
      <c r="D177" s="50">
        <v>24</v>
      </c>
      <c r="E177" s="51">
        <v>0.8</v>
      </c>
      <c r="F177" s="51">
        <v>0.11</v>
      </c>
      <c r="G177" s="51">
        <v>0.09</v>
      </c>
      <c r="H177" s="51"/>
      <c r="I177" s="49">
        <f t="shared" si="6"/>
        <v>10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">
      <c r="A188" s="46" t="s">
        <v>171</v>
      </c>
      <c r="B188" s="52" t="str">
        <f>IF(B15="","",B15)</f>
        <v>Douglas</v>
      </c>
      <c r="D188" s="228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">
      <c r="A189" s="46"/>
      <c r="B189" s="95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">
      <c r="A190" s="4"/>
      <c r="B190" s="85" t="s">
        <v>185</v>
      </c>
      <c r="C190" s="260" t="s">
        <v>186</v>
      </c>
      <c r="D190" s="260"/>
      <c r="E190" s="261" t="s">
        <v>187</v>
      </c>
      <c r="F190" s="262"/>
      <c r="G190" s="262"/>
      <c r="H190" s="263"/>
      <c r="I190" s="9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32" x14ac:dyDescent="0.2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">
      <c r="A192" s="50">
        <v>10</v>
      </c>
      <c r="B192" s="60">
        <v>46</v>
      </c>
      <c r="C192" s="60">
        <v>1</v>
      </c>
      <c r="D192" s="60">
        <v>0</v>
      </c>
      <c r="E192" s="51">
        <v>0.3</v>
      </c>
      <c r="F192" s="51">
        <v>0.39</v>
      </c>
      <c r="G192" s="51">
        <v>0.31</v>
      </c>
      <c r="H192" s="51"/>
      <c r="I192" s="49">
        <f>IFERROR(B192/A192,"")</f>
        <v>4.5999999999999996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">
      <c r="A193" s="50">
        <v>15</v>
      </c>
      <c r="B193" s="60">
        <v>153</v>
      </c>
      <c r="C193" s="60">
        <v>2</v>
      </c>
      <c r="D193" s="60">
        <v>60</v>
      </c>
      <c r="E193" s="51">
        <v>0.4</v>
      </c>
      <c r="F193" s="51">
        <v>0.34</v>
      </c>
      <c r="G193" s="51">
        <v>0.26</v>
      </c>
      <c r="H193" s="51"/>
      <c r="I193" s="49">
        <f t="shared" ref="I193:I211" si="7">IF(A193&lt;&gt;0,(B193-(B192-D192))/(A193-A192),"")</f>
        <v>21.4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">
      <c r="A194" s="50">
        <v>20</v>
      </c>
      <c r="B194" s="60">
        <v>233</v>
      </c>
      <c r="C194" s="60">
        <v>3</v>
      </c>
      <c r="D194" s="60">
        <v>84</v>
      </c>
      <c r="E194" s="51">
        <v>0.4</v>
      </c>
      <c r="F194" s="51">
        <v>0.34</v>
      </c>
      <c r="G194" s="51">
        <v>0.26</v>
      </c>
      <c r="H194" s="51"/>
      <c r="I194" s="49">
        <f t="shared" si="7"/>
        <v>28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">
      <c r="A195" s="50">
        <v>25</v>
      </c>
      <c r="B195" s="60">
        <v>309</v>
      </c>
      <c r="C195" s="60">
        <v>4</v>
      </c>
      <c r="D195" s="60">
        <v>84</v>
      </c>
      <c r="E195" s="51">
        <v>0.5</v>
      </c>
      <c r="F195" s="51">
        <v>0.28000000000000003</v>
      </c>
      <c r="G195" s="51">
        <v>0.22</v>
      </c>
      <c r="H195" s="51"/>
      <c r="I195" s="49">
        <f t="shared" si="7"/>
        <v>32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">
      <c r="A196" s="50">
        <v>30</v>
      </c>
      <c r="B196" s="60">
        <v>393</v>
      </c>
      <c r="C196" s="60">
        <v>5</v>
      </c>
      <c r="D196" s="60">
        <v>84</v>
      </c>
      <c r="E196" s="51">
        <v>0.5</v>
      </c>
      <c r="F196" s="51">
        <v>0.28000000000000003</v>
      </c>
      <c r="G196" s="51">
        <v>0.22</v>
      </c>
      <c r="H196" s="51"/>
      <c r="I196" s="49">
        <f t="shared" si="7"/>
        <v>33.6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">
      <c r="A197" s="50">
        <v>35</v>
      </c>
      <c r="B197" s="60">
        <v>472</v>
      </c>
      <c r="C197" s="60">
        <v>6</v>
      </c>
      <c r="D197" s="60">
        <v>84</v>
      </c>
      <c r="E197" s="51">
        <v>0.6</v>
      </c>
      <c r="F197" s="51">
        <v>0.22</v>
      </c>
      <c r="G197" s="51">
        <v>0.18</v>
      </c>
      <c r="H197" s="51"/>
      <c r="I197" s="49">
        <f t="shared" si="7"/>
        <v>32.6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">
      <c r="A198" s="50">
        <v>40</v>
      </c>
      <c r="B198" s="60">
        <v>540</v>
      </c>
      <c r="C198" s="60">
        <v>7</v>
      </c>
      <c r="D198" s="60">
        <v>84</v>
      </c>
      <c r="E198" s="51">
        <v>0.6</v>
      </c>
      <c r="F198" s="51">
        <v>0.22</v>
      </c>
      <c r="G198" s="51">
        <v>0.18</v>
      </c>
      <c r="H198" s="51"/>
      <c r="I198" s="49">
        <f t="shared" si="7"/>
        <v>30.4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">
      <c r="A199" s="50">
        <v>45</v>
      </c>
      <c r="B199" s="50">
        <v>594</v>
      </c>
      <c r="C199" s="50">
        <v>8</v>
      </c>
      <c r="D199" s="50">
        <v>80</v>
      </c>
      <c r="E199" s="51">
        <v>0.7</v>
      </c>
      <c r="F199" s="51">
        <v>0.17</v>
      </c>
      <c r="G199" s="51">
        <v>0.13</v>
      </c>
      <c r="H199" s="51"/>
      <c r="I199" s="49">
        <f t="shared" si="7"/>
        <v>27.6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">
      <c r="A200" s="50">
        <v>50</v>
      </c>
      <c r="B200" s="50">
        <v>639</v>
      </c>
      <c r="C200" s="50">
        <v>9</v>
      </c>
      <c r="D200" s="50">
        <v>639</v>
      </c>
      <c r="E200" s="51">
        <v>0.8</v>
      </c>
      <c r="F200" s="51">
        <v>0.11</v>
      </c>
      <c r="G200" s="51">
        <v>0.09</v>
      </c>
      <c r="H200" s="51"/>
      <c r="I200" s="49">
        <f t="shared" si="7"/>
        <v>25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">
      <c r="A214" s="46" t="s">
        <v>172</v>
      </c>
      <c r="B214" s="52" t="str">
        <f>IF(B16="","",B16)</f>
        <v/>
      </c>
      <c r="D214" s="228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">
      <c r="A215" s="46"/>
      <c r="B215" s="95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">
      <c r="A216" s="4"/>
      <c r="B216" s="85" t="s">
        <v>185</v>
      </c>
      <c r="C216" s="260" t="s">
        <v>186</v>
      </c>
      <c r="D216" s="260"/>
      <c r="E216" s="261" t="s">
        <v>187</v>
      </c>
      <c r="F216" s="262"/>
      <c r="G216" s="262"/>
      <c r="H216" s="263"/>
      <c r="I216" s="9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32" x14ac:dyDescent="0.2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">
      <c r="A231" s="87"/>
      <c r="B231" s="60"/>
      <c r="C231" s="87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">
      <c r="A240" s="46" t="s">
        <v>173</v>
      </c>
      <c r="B240" s="52" t="str">
        <f>IF(B17="","",B17)</f>
        <v/>
      </c>
      <c r="D240" s="228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">
      <c r="A241" s="46"/>
      <c r="B241" s="95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">
      <c r="A242" s="4"/>
      <c r="B242" s="85" t="s">
        <v>185</v>
      </c>
      <c r="C242" s="260" t="s">
        <v>186</v>
      </c>
      <c r="D242" s="260"/>
      <c r="E242" s="261" t="s">
        <v>187</v>
      </c>
      <c r="F242" s="262"/>
      <c r="G242" s="262"/>
      <c r="H242" s="263"/>
      <c r="I242" s="9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32" x14ac:dyDescent="0.2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">
      <c r="A257" s="87"/>
      <c r="B257" s="60"/>
      <c r="C257" s="87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">
      <c r="A266" s="46" t="s">
        <v>174</v>
      </c>
      <c r="B266" s="52" t="str">
        <f>IF(B18="","",B18)</f>
        <v/>
      </c>
      <c r="D266" s="228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">
      <c r="A267" s="46"/>
      <c r="B267" s="95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">
      <c r="A268" s="4"/>
      <c r="B268" s="85" t="s">
        <v>185</v>
      </c>
      <c r="C268" s="260" t="s">
        <v>186</v>
      </c>
      <c r="D268" s="260"/>
      <c r="E268" s="261" t="s">
        <v>187</v>
      </c>
      <c r="F268" s="262"/>
      <c r="G268" s="262"/>
      <c r="H268" s="263"/>
      <c r="I268" s="9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32" x14ac:dyDescent="0.2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">
      <c r="A283" s="87"/>
      <c r="B283" s="60"/>
      <c r="C283" s="87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21" sqref="G21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96"/>
      <c r="K1" s="9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35">
      <c r="A2" s="4"/>
      <c r="B2" s="273" t="s">
        <v>191</v>
      </c>
      <c r="C2" s="274"/>
      <c r="D2" s="274"/>
      <c r="E2" s="274"/>
      <c r="F2" s="274"/>
      <c r="G2" s="275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">
      <c r="A4" s="4"/>
      <c r="B4" s="272"/>
      <c r="C4" s="272"/>
      <c r="D4" s="272"/>
      <c r="E4" s="272"/>
      <c r="F4" s="272"/>
      <c r="G4" s="272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">
      <c r="A5" s="4"/>
      <c r="B5" s="97" t="s">
        <v>296</v>
      </c>
      <c r="C5" s="97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">
      <c r="A6" s="23"/>
      <c r="B6" s="216"/>
      <c r="C6" s="216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">
      <c r="A7" s="98"/>
      <c r="B7" s="26" t="s">
        <v>295</v>
      </c>
      <c r="C7" s="99" t="s">
        <v>214</v>
      </c>
      <c r="D7" s="214"/>
      <c r="E7" s="100"/>
      <c r="F7" s="26" t="s">
        <v>295</v>
      </c>
      <c r="G7" s="99" t="s">
        <v>215</v>
      </c>
      <c r="H7" s="215"/>
      <c r="I7" s="215"/>
      <c r="J7" s="215"/>
      <c r="K7" s="215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</row>
    <row r="8" spans="1:38" ht="17.25" customHeight="1" x14ac:dyDescent="0.2">
      <c r="A8" s="104">
        <v>1</v>
      </c>
      <c r="B8" s="61">
        <v>0</v>
      </c>
      <c r="C8" s="49" t="s">
        <v>177</v>
      </c>
      <c r="D8" s="23"/>
      <c r="E8" s="104">
        <v>4</v>
      </c>
      <c r="F8" s="61">
        <v>1</v>
      </c>
      <c r="G8" s="101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">
      <c r="A9" s="104">
        <v>2</v>
      </c>
      <c r="B9" s="61">
        <v>0</v>
      </c>
      <c r="C9" s="107" t="s">
        <v>216</v>
      </c>
      <c r="D9" s="23"/>
      <c r="E9" s="104">
        <v>5</v>
      </c>
      <c r="F9" s="61">
        <v>0</v>
      </c>
      <c r="G9" s="102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">
      <c r="A10" s="104">
        <v>3</v>
      </c>
      <c r="B10" s="61">
        <v>0</v>
      </c>
      <c r="C10" s="108" t="s">
        <v>217</v>
      </c>
      <c r="D10" s="23"/>
      <c r="E10" s="4"/>
      <c r="F10" s="105">
        <f>SUM(F7:F9)</f>
        <v>1</v>
      </c>
      <c r="G10" s="103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">
      <c r="A11" s="23"/>
      <c r="B11" s="105">
        <v>0</v>
      </c>
      <c r="C11" s="103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">
      <c r="A13" s="215"/>
      <c r="B13" s="106"/>
      <c r="C13" s="97" t="s">
        <v>273</v>
      </c>
      <c r="D13" s="215"/>
      <c r="E13" s="98"/>
      <c r="F13" s="106"/>
      <c r="G13" s="97" t="s">
        <v>301</v>
      </c>
      <c r="H13" s="215"/>
      <c r="I13" s="215"/>
      <c r="J13" s="215"/>
      <c r="K13" s="215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</row>
    <row r="14" spans="1:38" s="3" customFormat="1" ht="21" customHeight="1" x14ac:dyDescent="0.2">
      <c r="A14" s="215"/>
      <c r="B14" s="106"/>
      <c r="C14" s="97" t="s">
        <v>309</v>
      </c>
      <c r="D14" s="215"/>
      <c r="E14" s="98"/>
      <c r="F14" s="106"/>
      <c r="G14" s="97" t="s">
        <v>294</v>
      </c>
      <c r="H14" s="215"/>
      <c r="I14" s="215"/>
      <c r="J14" s="215"/>
      <c r="K14" s="215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</row>
    <row r="15" spans="1:38" x14ac:dyDescent="0.2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">
      <c r="A16" s="23"/>
      <c r="B16" s="61">
        <v>0</v>
      </c>
      <c r="C16" s="109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">
      <c r="A17" s="23"/>
      <c r="B17" s="61">
        <v>0</v>
      </c>
      <c r="C17" s="109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">
      <c r="A18" s="23"/>
      <c r="B18" s="61">
        <v>0</v>
      </c>
      <c r="C18" s="109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">
      <c r="A19" s="23"/>
      <c r="B19" s="105">
        <f>SUM(B16:B18)</f>
        <v>0</v>
      </c>
      <c r="C19" s="103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">
      <c r="C104" s="4"/>
      <c r="F104" s="4"/>
    </row>
    <row r="105" spans="3:35" x14ac:dyDescent="0.2">
      <c r="C105" s="4"/>
      <c r="F105" s="4"/>
    </row>
    <row r="106" spans="3:35" x14ac:dyDescent="0.2">
      <c r="C106" s="4"/>
      <c r="F106" s="4"/>
    </row>
    <row r="107" spans="3:35" x14ac:dyDescent="0.2">
      <c r="C107" s="4"/>
      <c r="F107" s="4"/>
    </row>
    <row r="108" spans="3:35" x14ac:dyDescent="0.2">
      <c r="C108" s="4"/>
      <c r="F108" s="4"/>
    </row>
    <row r="109" spans="3:35" x14ac:dyDescent="0.2">
      <c r="C109" s="4"/>
      <c r="F109" s="4"/>
    </row>
    <row r="110" spans="3:35" x14ac:dyDescent="0.2">
      <c r="C110" s="4"/>
      <c r="F110" s="4"/>
    </row>
    <row r="111" spans="3:35" x14ac:dyDescent="0.2">
      <c r="C111" s="4"/>
      <c r="F111" s="4"/>
    </row>
    <row r="112" spans="3:35" x14ac:dyDescent="0.2">
      <c r="C112" s="4"/>
      <c r="F112" s="4"/>
    </row>
    <row r="113" spans="3:6" x14ac:dyDescent="0.2">
      <c r="C113" s="4"/>
      <c r="F113" s="4"/>
    </row>
    <row r="114" spans="3:6" x14ac:dyDescent="0.2">
      <c r="C114" s="4"/>
      <c r="F114" s="4"/>
    </row>
    <row r="115" spans="3:6" x14ac:dyDescent="0.2">
      <c r="C115" s="4"/>
      <c r="F115" s="4"/>
    </row>
    <row r="116" spans="3:6" x14ac:dyDescent="0.2">
      <c r="C116" s="4"/>
      <c r="F116" s="4"/>
    </row>
    <row r="117" spans="3:6" x14ac:dyDescent="0.2">
      <c r="C117" s="4"/>
      <c r="F117" s="4"/>
    </row>
    <row r="118" spans="3:6" x14ac:dyDescent="0.2">
      <c r="C118" s="4"/>
      <c r="F118" s="4"/>
    </row>
    <row r="119" spans="3:6" x14ac:dyDescent="0.2">
      <c r="C119" s="4"/>
      <c r="F119" s="4"/>
    </row>
    <row r="120" spans="3:6" x14ac:dyDescent="0.2">
      <c r="C120" s="4"/>
      <c r="F120" s="4"/>
    </row>
    <row r="121" spans="3:6" x14ac:dyDescent="0.2">
      <c r="C121" s="4"/>
      <c r="F121" s="4"/>
    </row>
    <row r="122" spans="3:6" x14ac:dyDescent="0.2">
      <c r="C122" s="4"/>
      <c r="F122" s="4"/>
    </row>
    <row r="123" spans="3:6" x14ac:dyDescent="0.2">
      <c r="C123" s="4"/>
      <c r="F123" s="4"/>
    </row>
    <row r="124" spans="3:6" x14ac:dyDescent="0.2">
      <c r="C124" s="4"/>
      <c r="F124" s="4"/>
    </row>
    <row r="125" spans="3:6" x14ac:dyDescent="0.2">
      <c r="C125" s="4"/>
      <c r="F125" s="4"/>
    </row>
    <row r="126" spans="3:6" x14ac:dyDescent="0.2">
      <c r="C126" s="4"/>
      <c r="F126" s="4"/>
    </row>
    <row r="127" spans="3:6" x14ac:dyDescent="0.2">
      <c r="C127" s="4"/>
      <c r="F127" s="4"/>
    </row>
    <row r="128" spans="3:6" x14ac:dyDescent="0.2">
      <c r="C128" s="4"/>
      <c r="F128" s="4"/>
    </row>
    <row r="129" spans="3:6" x14ac:dyDescent="0.2">
      <c r="C129" s="4"/>
      <c r="F129" s="4"/>
    </row>
    <row r="130" spans="3:6" x14ac:dyDescent="0.2">
      <c r="C130" s="4"/>
      <c r="F130" s="4"/>
    </row>
    <row r="131" spans="3:6" x14ac:dyDescent="0.2">
      <c r="C131" s="4"/>
      <c r="F131" s="4"/>
    </row>
    <row r="132" spans="3:6" x14ac:dyDescent="0.2">
      <c r="F132" s="4"/>
    </row>
    <row r="133" spans="3:6" x14ac:dyDescent="0.2">
      <c r="F133" s="4"/>
    </row>
    <row r="134" spans="3:6" x14ac:dyDescent="0.2">
      <c r="F134" s="4"/>
    </row>
    <row r="135" spans="3:6" x14ac:dyDescent="0.2">
      <c r="F135" s="4"/>
    </row>
    <row r="136" spans="3:6" x14ac:dyDescent="0.2">
      <c r="F136" s="4"/>
    </row>
    <row r="137" spans="3:6" x14ac:dyDescent="0.2">
      <c r="F137" s="4"/>
    </row>
    <row r="138" spans="3:6" x14ac:dyDescent="0.2">
      <c r="F138" s="4"/>
    </row>
    <row r="139" spans="3:6" x14ac:dyDescent="0.2">
      <c r="F139" s="4"/>
    </row>
    <row r="140" spans="3:6" x14ac:dyDescent="0.2">
      <c r="F140" s="4"/>
    </row>
    <row r="141" spans="3:6" x14ac:dyDescent="0.2">
      <c r="F141" s="4"/>
    </row>
    <row r="142" spans="3:6" x14ac:dyDescent="0.2">
      <c r="F142" s="4"/>
    </row>
    <row r="143" spans="3:6" x14ac:dyDescent="0.2">
      <c r="F143" s="4"/>
    </row>
    <row r="144" spans="3:6" x14ac:dyDescent="0.2">
      <c r="F144" s="4"/>
    </row>
    <row r="145" spans="6:6" x14ac:dyDescent="0.2">
      <c r="F145" s="4"/>
    </row>
    <row r="146" spans="6:6" x14ac:dyDescent="0.2">
      <c r="F146" s="4"/>
    </row>
    <row r="147" spans="6:6" x14ac:dyDescent="0.2">
      <c r="F147" s="4"/>
    </row>
    <row r="148" spans="6:6" x14ac:dyDescent="0.2">
      <c r="F148" s="4"/>
    </row>
    <row r="149" spans="6:6" x14ac:dyDescent="0.2">
      <c r="F149" s="4"/>
    </row>
    <row r="150" spans="6:6" x14ac:dyDescent="0.2">
      <c r="F150" s="4"/>
    </row>
    <row r="151" spans="6:6" x14ac:dyDescent="0.2">
      <c r="F151" s="4"/>
    </row>
    <row r="152" spans="6:6" x14ac:dyDescent="0.2">
      <c r="F152" s="4"/>
    </row>
    <row r="153" spans="6:6" x14ac:dyDescent="0.2">
      <c r="F153" s="4"/>
    </row>
    <row r="154" spans="6:6" x14ac:dyDescent="0.2">
      <c r="F154" s="4"/>
    </row>
    <row r="155" spans="6:6" x14ac:dyDescent="0.2">
      <c r="F155" s="4"/>
    </row>
    <row r="156" spans="6:6" x14ac:dyDescent="0.2">
      <c r="F156" s="4"/>
    </row>
    <row r="157" spans="6:6" x14ac:dyDescent="0.2">
      <c r="F157" s="4"/>
    </row>
    <row r="158" spans="6:6" x14ac:dyDescent="0.2">
      <c r="F158" s="4"/>
    </row>
    <row r="159" spans="6:6" x14ac:dyDescent="0.2">
      <c r="F159" s="4"/>
    </row>
    <row r="160" spans="6:6" x14ac:dyDescent="0.2">
      <c r="F160" s="4"/>
    </row>
    <row r="161" spans="6:6" x14ac:dyDescent="0.2">
      <c r="F161" s="4"/>
    </row>
    <row r="162" spans="6:6" x14ac:dyDescent="0.2">
      <c r="F162" s="4"/>
    </row>
    <row r="163" spans="6:6" x14ac:dyDescent="0.2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4" bestFit="1" customWidth="1"/>
    <col min="2" max="4" width="11.5" style="4"/>
    <col min="5" max="5" width="9.5" style="4" customWidth="1"/>
    <col min="6" max="7" width="11.5" style="4"/>
    <col min="8" max="8" width="10.6640625" style="4" customWidth="1"/>
    <col min="9" max="9" width="9.5" style="4" customWidth="1"/>
    <col min="10" max="11" width="10.5" style="4" bestFit="1" customWidth="1"/>
    <col min="12" max="12" width="14" style="4" bestFit="1" customWidth="1"/>
    <col min="13" max="13" width="14" style="4" customWidth="1"/>
    <col min="14" max="23" width="11.5" style="4"/>
    <col min="24" max="24" width="11.6640625" style="4" bestFit="1" customWidth="1"/>
    <col min="25" max="25" width="14.5" style="4" bestFit="1" customWidth="1"/>
    <col min="26" max="26" width="12.5" style="4" bestFit="1" customWidth="1"/>
    <col min="27" max="27" width="9.6640625" style="4" bestFit="1" customWidth="1"/>
    <col min="28" max="28" width="11" style="4" bestFit="1" customWidth="1"/>
    <col min="29" max="29" width="9.5" style="4" bestFit="1" customWidth="1"/>
    <col min="30" max="31" width="9.5" style="4" customWidth="1"/>
    <col min="32" max="32" width="11.5" style="4"/>
    <col min="33" max="34" width="14" style="4" bestFit="1" customWidth="1"/>
    <col min="35" max="35" width="10.5" style="4" bestFit="1" customWidth="1"/>
    <col min="36" max="36" width="9.5" style="4" bestFit="1" customWidth="1"/>
    <col min="37" max="38" width="10.5" style="4" bestFit="1" customWidth="1"/>
    <col min="39" max="41" width="10.5" style="4" customWidth="1"/>
    <col min="42" max="42" width="9" style="4" bestFit="1" customWidth="1"/>
    <col min="43" max="43" width="10.5" style="4" bestFit="1" customWidth="1"/>
    <col min="44" max="44" width="9.33203125" style="4" bestFit="1" customWidth="1"/>
    <col min="45" max="45" width="11.6640625" style="4" bestFit="1" customWidth="1"/>
    <col min="46" max="46" width="8.5" style="4" bestFit="1" customWidth="1"/>
    <col min="47" max="47" width="9.5" style="4" bestFit="1" customWidth="1"/>
    <col min="48" max="48" width="9.6640625" style="4" bestFit="1" customWidth="1"/>
    <col min="49" max="49" width="11" style="4" bestFit="1" customWidth="1"/>
    <col min="50" max="50" width="9.5" style="4" bestFit="1" customWidth="1"/>
    <col min="51" max="52" width="9.5" style="4" customWidth="1"/>
    <col min="53" max="53" width="10.5" style="4" bestFit="1" customWidth="1"/>
    <col min="54" max="54" width="14.33203125" style="4" customWidth="1"/>
    <col min="55" max="55" width="14" style="4" customWidth="1"/>
    <col min="56" max="56" width="10.5" style="4" bestFit="1" customWidth="1"/>
    <col min="57" max="57" width="9.5" style="4" bestFit="1" customWidth="1"/>
    <col min="58" max="59" width="10.5" style="4" bestFit="1" customWidth="1"/>
    <col min="60" max="62" width="10.5" style="4" customWidth="1"/>
    <col min="63" max="63" width="9" style="4" bestFit="1" customWidth="1"/>
    <col min="64" max="64" width="10.5" style="4" bestFit="1" customWidth="1"/>
    <col min="65" max="65" width="9.33203125" style="4" bestFit="1" customWidth="1"/>
    <col min="66" max="66" width="11.6640625" style="4" bestFit="1" customWidth="1"/>
    <col min="67" max="67" width="8.5" style="4" bestFit="1" customWidth="1"/>
    <col min="68" max="68" width="9.5" style="4" bestFit="1" customWidth="1"/>
    <col min="69" max="69" width="9.6640625" style="4" bestFit="1" customWidth="1"/>
    <col min="70" max="70" width="11" style="4" bestFit="1" customWidth="1"/>
    <col min="71" max="71" width="9.5" style="4" bestFit="1" customWidth="1"/>
    <col min="72" max="73" width="9.5" style="4" customWidth="1"/>
    <col min="74" max="74" width="10.5" style="4" bestFit="1" customWidth="1"/>
    <col min="75" max="75" width="14" style="4" bestFit="1" customWidth="1"/>
    <col min="76" max="76" width="13.83203125" style="4" customWidth="1"/>
    <col min="77" max="77" width="10.5" style="4" bestFit="1" customWidth="1"/>
    <col min="78" max="78" width="9.5" style="4" bestFit="1" customWidth="1"/>
    <col min="79" max="80" width="10.5" style="4" bestFit="1" customWidth="1"/>
    <col min="81" max="83" width="10.5" style="4" customWidth="1"/>
    <col min="84" max="84" width="11.5" style="4"/>
    <col min="85" max="85" width="10.5" style="4" bestFit="1" customWidth="1"/>
    <col min="86" max="86" width="9.33203125" style="4" bestFit="1" customWidth="1"/>
    <col min="87" max="87" width="11.6640625" style="4" bestFit="1" customWidth="1"/>
    <col min="88" max="88" width="8.5" style="4" bestFit="1" customWidth="1"/>
    <col min="89" max="89" width="9.5" style="4" bestFit="1" customWidth="1"/>
    <col min="90" max="90" width="9.6640625" style="4" bestFit="1" customWidth="1"/>
    <col min="91" max="91" width="11" style="4" bestFit="1" customWidth="1"/>
    <col min="92" max="92" width="9.5" style="4" bestFit="1" customWidth="1"/>
    <col min="93" max="94" width="9.5" style="4" customWidth="1"/>
    <col min="95" max="95" width="11.5" style="4"/>
    <col min="96" max="97" width="14" style="4" customWidth="1"/>
    <col min="98" max="98" width="10.5" style="4" bestFit="1" customWidth="1"/>
    <col min="99" max="99" width="9.5" style="4" bestFit="1" customWidth="1"/>
    <col min="100" max="101" width="10.5" style="4" bestFit="1" customWidth="1"/>
    <col min="102" max="104" width="10.5" style="4" customWidth="1"/>
    <col min="105" max="105" width="9" style="4" bestFit="1" customWidth="1"/>
    <col min="106" max="106" width="10.5" style="4" bestFit="1" customWidth="1"/>
    <col min="107" max="107" width="9.33203125" style="4" bestFit="1" customWidth="1"/>
    <col min="108" max="108" width="11.6640625" style="4" bestFit="1" customWidth="1"/>
    <col min="109" max="109" width="8.5" style="4" bestFit="1" customWidth="1"/>
    <col min="110" max="110" width="9.5" style="4" bestFit="1" customWidth="1"/>
    <col min="111" max="111" width="9.6640625" style="4" bestFit="1" customWidth="1"/>
    <col min="112" max="112" width="11" style="4" bestFit="1" customWidth="1"/>
    <col min="113" max="113" width="9.5" style="4" bestFit="1" customWidth="1"/>
    <col min="114" max="115" width="9.5" style="4" customWidth="1"/>
    <col min="116" max="116" width="10.5" style="4" bestFit="1" customWidth="1"/>
    <col min="117" max="117" width="14.33203125" style="4" customWidth="1"/>
    <col min="118" max="118" width="14" style="4" bestFit="1" customWidth="1"/>
    <col min="119" max="119" width="10.5" style="4" bestFit="1" customWidth="1"/>
    <col min="120" max="120" width="9.5" style="4" bestFit="1" customWidth="1"/>
    <col min="121" max="122" width="10.5" style="4" bestFit="1" customWidth="1"/>
    <col min="123" max="125" width="10.5" style="4" customWidth="1"/>
    <col min="126" max="126" width="9" style="4" bestFit="1" customWidth="1"/>
    <col min="127" max="127" width="10.5" style="4" bestFit="1" customWidth="1"/>
    <col min="128" max="128" width="9.33203125" style="4" bestFit="1" customWidth="1"/>
    <col min="129" max="129" width="11.6640625" style="4" bestFit="1" customWidth="1"/>
    <col min="130" max="130" width="8.5" style="4" bestFit="1" customWidth="1"/>
    <col min="131" max="131" width="9.5" style="4" bestFit="1" customWidth="1"/>
    <col min="132" max="132" width="9.6640625" style="4" bestFit="1" customWidth="1"/>
    <col min="133" max="133" width="11" style="4" bestFit="1" customWidth="1"/>
    <col min="134" max="134" width="9.5" style="4" bestFit="1" customWidth="1"/>
    <col min="135" max="136" width="9.5" style="4" customWidth="1"/>
    <col min="137" max="137" width="10.5" style="4" bestFit="1" customWidth="1"/>
    <col min="138" max="139" width="14" style="4" customWidth="1"/>
    <col min="140" max="140" width="10.5" style="4" bestFit="1" customWidth="1"/>
    <col min="141" max="141" width="9.5" style="4" bestFit="1" customWidth="1"/>
    <col min="142" max="143" width="10.5" style="4" bestFit="1" customWidth="1"/>
    <col min="144" max="146" width="10.5" style="4" customWidth="1"/>
    <col min="147" max="147" width="9" style="4" bestFit="1" customWidth="1"/>
    <col min="148" max="148" width="10.5" style="4" bestFit="1" customWidth="1"/>
    <col min="149" max="149" width="9.33203125" style="4" bestFit="1" customWidth="1"/>
    <col min="150" max="150" width="11.6640625" style="4" bestFit="1" customWidth="1"/>
    <col min="151" max="151" width="8.5" style="4" bestFit="1" customWidth="1"/>
    <col min="152" max="152" width="9.5" style="4" bestFit="1" customWidth="1"/>
    <col min="153" max="153" width="9.6640625" style="4" bestFit="1" customWidth="1"/>
    <col min="154" max="154" width="11" style="4" bestFit="1" customWidth="1"/>
    <col min="155" max="155" width="9.5" style="4" bestFit="1" customWidth="1"/>
    <col min="156" max="157" width="9.5" style="4" customWidth="1"/>
    <col min="158" max="158" width="11.5" style="4"/>
    <col min="159" max="160" width="14" style="4" bestFit="1" customWidth="1"/>
    <col min="161" max="161" width="10.5" style="4" bestFit="1" customWidth="1"/>
    <col min="162" max="162" width="9.5" style="4" bestFit="1" customWidth="1"/>
    <col min="163" max="164" width="10.5" style="4" bestFit="1" customWidth="1"/>
    <col min="165" max="167" width="10.5" style="4" customWidth="1"/>
    <col min="168" max="168" width="9" style="4" bestFit="1" customWidth="1"/>
    <col min="169" max="169" width="10.5" style="4" bestFit="1" customWidth="1"/>
    <col min="170" max="170" width="9.33203125" style="4" bestFit="1" customWidth="1"/>
    <col min="171" max="171" width="11.6640625" style="4" bestFit="1" customWidth="1"/>
    <col min="172" max="172" width="8.1640625" style="4" bestFit="1" customWidth="1"/>
    <col min="173" max="173" width="9.5" style="4" bestFit="1" customWidth="1"/>
    <col min="174" max="174" width="9.6640625" style="4" bestFit="1" customWidth="1"/>
    <col min="175" max="175" width="11" style="4" bestFit="1" customWidth="1"/>
    <col min="176" max="176" width="9.5" style="4" bestFit="1" customWidth="1"/>
    <col min="177" max="178" width="9.5" style="4" customWidth="1"/>
    <col min="179" max="179" width="10.5" style="4" bestFit="1" customWidth="1"/>
    <col min="180" max="181" width="14" style="4" bestFit="1" customWidth="1"/>
    <col min="182" max="182" width="10.5" style="4" bestFit="1" customWidth="1"/>
    <col min="183" max="183" width="9.5" style="4" bestFit="1" customWidth="1"/>
    <col min="184" max="185" width="10.5" style="4" bestFit="1" customWidth="1"/>
    <col min="186" max="188" width="10.5" style="4" customWidth="1"/>
    <col min="189" max="189" width="9" style="4" bestFit="1" customWidth="1"/>
    <col min="190" max="190" width="10.5" style="4" bestFit="1" customWidth="1"/>
    <col min="191" max="191" width="9.33203125" style="4" bestFit="1" customWidth="1"/>
    <col min="192" max="192" width="11.5" style="4"/>
    <col min="193" max="193" width="8.5" style="4" bestFit="1" customWidth="1"/>
    <col min="194" max="194" width="9.5" style="4" bestFit="1" customWidth="1"/>
    <col min="195" max="195" width="9.6640625" style="4" bestFit="1" customWidth="1"/>
    <col min="196" max="196" width="11" style="4" bestFit="1" customWidth="1"/>
    <col min="197" max="197" width="9.5" style="4" bestFit="1" customWidth="1"/>
    <col min="198" max="199" width="9.5" style="4" customWidth="1"/>
    <col min="200" max="200" width="10.5" style="4" bestFit="1" customWidth="1"/>
    <col min="201" max="201" width="14" style="4" customWidth="1"/>
    <col min="202" max="202" width="14.33203125" style="4" customWidth="1"/>
    <col min="203" max="203" width="10.5" style="4" bestFit="1" customWidth="1"/>
    <col min="204" max="204" width="9.5" style="4" bestFit="1" customWidth="1"/>
    <col min="205" max="206" width="10.5" style="4" bestFit="1" customWidth="1"/>
    <col min="207" max="209" width="10.5" style="4" customWidth="1"/>
    <col min="210" max="210" width="9" style="4" bestFit="1" customWidth="1"/>
    <col min="211" max="211" width="10.5" style="4" bestFit="1" customWidth="1"/>
    <col min="212" max="212" width="9.33203125" style="4" bestFit="1" customWidth="1"/>
    <col min="213" max="213" width="11.6640625" style="4" bestFit="1" customWidth="1"/>
    <col min="214" max="214" width="8.5" style="4" bestFit="1" customWidth="1"/>
    <col min="215" max="215" width="9.5" style="4" bestFit="1" customWidth="1"/>
    <col min="216" max="216" width="9.6640625" style="4" bestFit="1" customWidth="1"/>
    <col min="217" max="217" width="11" style="4" bestFit="1" customWidth="1"/>
    <col min="218" max="218" width="9.5" style="4" bestFit="1" customWidth="1"/>
    <col min="219" max="16384" width="11.5" style="4"/>
  </cols>
  <sheetData>
    <row r="1" spans="1:218" ht="27" thickBot="1" x14ac:dyDescent="0.35">
      <c r="B1" s="279" t="s">
        <v>176</v>
      </c>
      <c r="C1" s="280"/>
      <c r="D1" s="280"/>
      <c r="E1" s="280"/>
      <c r="F1" s="280"/>
      <c r="G1" s="280"/>
      <c r="H1" s="281"/>
      <c r="I1" s="276" t="str">
        <f>IF('Données projet'!$B$9="","",'Données projet'!$B$9)</f>
        <v>Chêne sessile</v>
      </c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8"/>
      <c r="AD1" s="277" t="str">
        <f>IF('Données projet'!$B$10="","",'Données projet'!$B$10)</f>
        <v>Cormier</v>
      </c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7"/>
      <c r="AU1" s="277"/>
      <c r="AV1" s="277"/>
      <c r="AW1" s="277"/>
      <c r="AX1" s="278"/>
      <c r="AY1" s="276" t="str">
        <f>IF('Données projet'!$B$11="","",'Données projet'!$B$11)</f>
        <v>Alisier Torminal</v>
      </c>
      <c r="AZ1" s="277"/>
      <c r="BA1" s="277"/>
      <c r="BB1" s="277"/>
      <c r="BC1" s="277"/>
      <c r="BD1" s="277"/>
      <c r="BE1" s="277"/>
      <c r="BF1" s="277"/>
      <c r="BG1" s="277"/>
      <c r="BH1" s="277"/>
      <c r="BI1" s="277"/>
      <c r="BJ1" s="277"/>
      <c r="BK1" s="277"/>
      <c r="BL1" s="277"/>
      <c r="BM1" s="277"/>
      <c r="BN1" s="277"/>
      <c r="BO1" s="277"/>
      <c r="BP1" s="277"/>
      <c r="BQ1" s="277"/>
      <c r="BR1" s="277"/>
      <c r="BS1" s="278"/>
      <c r="BT1" s="276" t="str">
        <f>IF('Données projet'!$B$12="","",'Données projet'!$B$12)</f>
        <v>Chêne sessile</v>
      </c>
      <c r="BU1" s="277"/>
      <c r="BV1" s="277"/>
      <c r="BW1" s="277"/>
      <c r="BX1" s="277"/>
      <c r="BY1" s="277"/>
      <c r="BZ1" s="277"/>
      <c r="CA1" s="277"/>
      <c r="CB1" s="277"/>
      <c r="CC1" s="277"/>
      <c r="CD1" s="277"/>
      <c r="CE1" s="277"/>
      <c r="CF1" s="277"/>
      <c r="CG1" s="277"/>
      <c r="CH1" s="277"/>
      <c r="CI1" s="277"/>
      <c r="CJ1" s="277"/>
      <c r="CK1" s="277"/>
      <c r="CL1" s="277"/>
      <c r="CM1" s="277"/>
      <c r="CN1" s="278"/>
      <c r="CO1" s="276" t="str">
        <f>IF('Données projet'!$B$13="","",'Données projet'!$B$13)</f>
        <v>Cormier</v>
      </c>
      <c r="CP1" s="277"/>
      <c r="CQ1" s="277"/>
      <c r="CR1" s="277"/>
      <c r="CS1" s="277"/>
      <c r="CT1" s="277"/>
      <c r="CU1" s="277"/>
      <c r="CV1" s="277"/>
      <c r="CW1" s="277"/>
      <c r="CX1" s="277"/>
      <c r="CY1" s="277"/>
      <c r="CZ1" s="277"/>
      <c r="DA1" s="277"/>
      <c r="DB1" s="277"/>
      <c r="DC1" s="277"/>
      <c r="DD1" s="277"/>
      <c r="DE1" s="277"/>
      <c r="DF1" s="277"/>
      <c r="DG1" s="277"/>
      <c r="DH1" s="277"/>
      <c r="DI1" s="278"/>
      <c r="DJ1" s="276" t="str">
        <f>IF('Données projet'!$B$14="","",'Données projet'!$B$14)</f>
        <v>Pin laricio</v>
      </c>
      <c r="DK1" s="277"/>
      <c r="DL1" s="277"/>
      <c r="DM1" s="277"/>
      <c r="DN1" s="277"/>
      <c r="DO1" s="277"/>
      <c r="DP1" s="277"/>
      <c r="DQ1" s="277"/>
      <c r="DR1" s="277"/>
      <c r="DS1" s="277"/>
      <c r="DT1" s="277"/>
      <c r="DU1" s="277"/>
      <c r="DV1" s="277"/>
      <c r="DW1" s="277"/>
      <c r="DX1" s="277"/>
      <c r="DY1" s="277"/>
      <c r="DZ1" s="277"/>
      <c r="EA1" s="277"/>
      <c r="EB1" s="277"/>
      <c r="EC1" s="277"/>
      <c r="ED1" s="278"/>
      <c r="EE1" s="276" t="str">
        <f>IF('Données projet'!$B$15="","",'Données projet'!$B$15)</f>
        <v>Douglas</v>
      </c>
      <c r="EF1" s="277"/>
      <c r="EG1" s="277"/>
      <c r="EH1" s="277"/>
      <c r="EI1" s="277"/>
      <c r="EJ1" s="277"/>
      <c r="EK1" s="277"/>
      <c r="EL1" s="277"/>
      <c r="EM1" s="277"/>
      <c r="EN1" s="277"/>
      <c r="EO1" s="277"/>
      <c r="EP1" s="277"/>
      <c r="EQ1" s="277"/>
      <c r="ER1" s="277"/>
      <c r="ES1" s="277"/>
      <c r="ET1" s="277"/>
      <c r="EU1" s="277"/>
      <c r="EV1" s="277"/>
      <c r="EW1" s="277"/>
      <c r="EX1" s="277"/>
      <c r="EY1" s="278"/>
      <c r="EZ1" s="276" t="str">
        <f>IF('Données projet'!$B$16="","",'Données projet'!$B$16)</f>
        <v/>
      </c>
      <c r="FA1" s="277"/>
      <c r="FB1" s="277"/>
      <c r="FC1" s="277"/>
      <c r="FD1" s="277"/>
      <c r="FE1" s="277"/>
      <c r="FF1" s="277"/>
      <c r="FG1" s="277"/>
      <c r="FH1" s="277"/>
      <c r="FI1" s="277"/>
      <c r="FJ1" s="277"/>
      <c r="FK1" s="277"/>
      <c r="FL1" s="277"/>
      <c r="FM1" s="277"/>
      <c r="FN1" s="277"/>
      <c r="FO1" s="277"/>
      <c r="FP1" s="277"/>
      <c r="FQ1" s="277"/>
      <c r="FR1" s="277"/>
      <c r="FS1" s="277"/>
      <c r="FT1" s="278"/>
      <c r="FU1" s="276" t="str">
        <f>IF('Données projet'!$B$17="","",'Données projet'!$B$17)</f>
        <v/>
      </c>
      <c r="FV1" s="277"/>
      <c r="FW1" s="277"/>
      <c r="FX1" s="277"/>
      <c r="FY1" s="277"/>
      <c r="FZ1" s="277"/>
      <c r="GA1" s="277"/>
      <c r="GB1" s="277"/>
      <c r="GC1" s="277"/>
      <c r="GD1" s="277"/>
      <c r="GE1" s="277"/>
      <c r="GF1" s="277"/>
      <c r="GG1" s="277"/>
      <c r="GH1" s="277"/>
      <c r="GI1" s="277"/>
      <c r="GJ1" s="277"/>
      <c r="GK1" s="277"/>
      <c r="GL1" s="277"/>
      <c r="GM1" s="277"/>
      <c r="GN1" s="277"/>
      <c r="GO1" s="278"/>
      <c r="GP1" s="276" t="str">
        <f>IF('Données projet'!$B$18="","",'Données projet'!$B$18)</f>
        <v/>
      </c>
      <c r="GQ1" s="277"/>
      <c r="GR1" s="277"/>
      <c r="GS1" s="277"/>
      <c r="GT1" s="277"/>
      <c r="GU1" s="277"/>
      <c r="GV1" s="277"/>
      <c r="GW1" s="277"/>
      <c r="GX1" s="277"/>
      <c r="GY1" s="277"/>
      <c r="GZ1" s="277"/>
      <c r="HA1" s="277"/>
      <c r="HB1" s="277"/>
      <c r="HC1" s="277"/>
      <c r="HD1" s="277"/>
      <c r="HE1" s="277"/>
      <c r="HF1" s="277"/>
      <c r="HG1" s="277"/>
      <c r="HH1" s="277"/>
      <c r="HI1" s="277"/>
      <c r="HJ1" s="278"/>
    </row>
    <row r="2" spans="1:218" ht="65" thickBot="1" x14ac:dyDescent="0.2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173.91998182168385</v>
      </c>
      <c r="T3" s="59">
        <f>IF('Données projet'!E9&gt;30,$R$33-$H$33,LOOKUP('Données projet'!$E$9,$A$3:$A$203,R3:R203)-LOOKUP('Données projet'!$E$9,$A$3:$A$203,$H$3:$H$203))</f>
        <v>72.011647893875363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150.9416300233616</v>
      </c>
      <c r="AO3" s="59">
        <f>IF('Données projet'!E10&gt;30,$AM$33-$H$33,LOOKUP('Données projet'!$E$10,$A$3:$A$203,AM3:AM203)-LOOKUP('Données projet'!$E$10,$A$3:$A$203,$H$3:$H$203))</f>
        <v>92.286636088269972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131.02416800340484</v>
      </c>
      <c r="BJ3" s="59">
        <f>IF('Données projet'!E11&gt;30,$BH$33-$H$33,LOOKUP('Données projet'!$E$11,$A$3:$A$203,BH3:BH203)-LOOKUP('Données projet'!$E$11,$A$3:$A$203,$H$3:$H$203))</f>
        <v>79.394119001888555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119.62076457560073</v>
      </c>
      <c r="CE3" s="59">
        <f>IF('Données projet'!E12&gt;30,$CC$33-$H$33,LOOKUP('Données projet'!$E$12,$A$3:$A$203,CC3:CC203)-LOOKUP('Données projet'!$E$12,$A$3:$A$203,$H$3:$H$203))</f>
        <v>72.011647893875363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150.9416300233616</v>
      </c>
      <c r="CZ3" s="59">
        <f>IF('Données projet'!E13&gt;30,$CX$33-$H$33,LOOKUP('Données projet'!$E$13,$A$3:$A$203,CX3:CX203)-LOOKUP('Données projet'!$E$13,$A$3:$A$203,$H$3:$H$203))</f>
        <v>92.286636088269972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293.33333333333331</v>
      </c>
      <c r="DT3" s="59">
        <f ca="1">AVERAGE(OFFSET($DS$3,0,0,'Données projet'!$E$14+1,1))-AVERAGE(OFFSET($H$3,0,0,'Données projet'!$E$14+1,1))</f>
        <v>249.22792522076639</v>
      </c>
      <c r="DU3" s="59">
        <f>IF('Données projet'!E14&gt;30,$DS$33-$H$33,LOOKUP('Données projet'!$E$14,$A$3:$A$203,DS3:DS203)-LOOKUP('Données projet'!$E$14,$A$3:$A$203,$H$3:$H$203))</f>
        <v>244.53725944480669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293.33333333333331</v>
      </c>
      <c r="EO3" s="59">
        <f ca="1">AVERAGE(OFFSET($EN$3,0,0,'Données projet'!$E$15+1,1))-AVERAGE(OFFSET($H$3,0,0,'Données projet'!$E$15+1,1))</f>
        <v>313.36787814924116</v>
      </c>
      <c r="EP3" s="59">
        <f>IF('Données projet'!E15&gt;30,$EN$33-$H$33,LOOKUP('Données projet'!$E$15,$A$3:$A$203,EN3:EN203)-LOOKUP('Données projet'!$E$15,$A$3:$A$203,$H$3:$H$203))</f>
        <v>438.72984487610216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1.2</v>
      </c>
      <c r="N4" s="13">
        <f>IF('Données projet'!$A$36&gt;35,N3+M4-V3,IF(A4&lt;'Données projet'!$A$36,$K$205^A4,IF(A4='Données projet'!$A$36,'Données projet'!$B$36,N3+M4-V3)))</f>
        <v>1.1457367676485573</v>
      </c>
      <c r="O4" s="13">
        <f>N4*VLOOKUP('Données projet'!$B$9,Paramètres!$A$1:$I$89,3,0)*VLOOKUP('Données projet'!$B$9,Paramètres!$A$1:$I$89,5,0)</f>
        <v>1.0366626273684145</v>
      </c>
      <c r="P4" s="13">
        <f>EXP(-1.0587+0.8836*LN(O4)+0.284)</f>
        <v>0.47573960617002853</v>
      </c>
      <c r="Q4" s="20">
        <f t="shared" ref="Q4:Q34" si="2">(O4+P4)*0.475*44/12</f>
        <v>2.6341005567461218</v>
      </c>
      <c r="R4" s="59">
        <f t="shared" si="0"/>
        <v>295.96743389007946</v>
      </c>
      <c r="S4" s="59">
        <f ca="1">AVERAGE(OFFSET($R$3,0,0,'Données projet'!$E$9+1,1))-AVERAGE(OFFSET($H$3,0,0,'Données projet'!$E$9+1,1))</f>
        <v>173.91998182168385</v>
      </c>
      <c r="T4" s="59">
        <f>$T$3</f>
        <v>72.011647893875363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1.2</v>
      </c>
      <c r="AI4" s="13">
        <f>IF('Données projet'!$A$62&gt;35,AI3+AH4-AQ3,IF(A4&lt;'Données projet'!$A$62,$AF$205^A4,IF(A4='Données projet'!$A$62,'Données projet'!$B$62,AI3+AH4-AQ3)))</f>
        <v>1.1457367676485573</v>
      </c>
      <c r="AJ4" s="13">
        <f>AI4*VLOOKUP('Données projet'!$B$10,Paramètres!$A$1:$I$89,3,0)*VLOOKUP('Données projet'!$B$10,Paramètres!$A$1:$I$89,5,0)</f>
        <v>1.233271056696907</v>
      </c>
      <c r="AK4" s="13">
        <f>EXP(-1.0587+0.8836*LN(AJ4)+0.284)</f>
        <v>0.55464025923604754</v>
      </c>
      <c r="AL4" s="20">
        <f t="shared" ref="AL4:AL67" si="4">(AJ4+AK4)*0.475*44/12</f>
        <v>3.113945541916562</v>
      </c>
      <c r="AM4" s="59">
        <f t="shared" ref="AM4:AM67" si="5">AL4+(AD4+AE4)*44/12</f>
        <v>296.44727887524988</v>
      </c>
      <c r="AN4" s="59">
        <f ca="1">AVERAGE(OFFSET($AM$3,0,0,'Données projet'!$E$10+1,1))-AVERAGE(OFFSET($H$3,0,0,'Données projet'!$E$10+1,1))</f>
        <v>150.9416300233616</v>
      </c>
      <c r="AO4" s="59">
        <f>$AO$3</f>
        <v>92.286636088269972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1.2</v>
      </c>
      <c r="BD4" s="12">
        <f>IF('Données projet'!$A$88&gt;35,BD3+BC4-BL3,IF(A4&lt;'Données projet'!$A$88,$BA$205^A4,IF(A4='Données projet'!$A$88,'Données projet'!$B$88,BD3+BC4-BL3)))</f>
        <v>1.1457367676485573</v>
      </c>
      <c r="BE4" s="13">
        <f>BD4*VLOOKUP('Données projet'!$B$11,Paramètres!$A$1:$I$89,3,0)*VLOOKUP('Données projet'!$B$11,Paramètres!$A$1:$I$89,5,0)</f>
        <v>1.1081566016696847</v>
      </c>
      <c r="BF4" s="13">
        <f>EXP(-1.0587+0.8836*LN(BE4)+0.284)</f>
        <v>0.50461671312632472</v>
      </c>
      <c r="BG4" s="20">
        <f t="shared" ref="BG4:BG67" si="7">(BE4+BF4)*0.475*44/12</f>
        <v>2.808913523269716</v>
      </c>
      <c r="BH4" s="59">
        <f t="shared" ref="BH4:BH67" si="8">BG4+(AY4+AZ4)*44/12</f>
        <v>296.14224685660304</v>
      </c>
      <c r="BI4" s="59">
        <f ca="1">AVERAGE(OFFSET($BH$3,0,0,'Données projet'!$E$11+1,1))-AVERAGE(OFFSET($H$3,0,0,'Données projet'!$E$11+1,1))</f>
        <v>131.02416800340484</v>
      </c>
      <c r="BJ4" s="59">
        <f>$BJ$3</f>
        <v>79.394119001888555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1.2</v>
      </c>
      <c r="BY4" s="12">
        <f>IF('Données projet'!$A$114&gt;35,BY3+BX4-CG3,IF(A4&lt;'Données projet'!$A$114,$BV$205^A4,IF(A4='Données projet'!$A$114,'Données projet'!$B$114,BY3+BX4-CG3)))</f>
        <v>1.1457367676485573</v>
      </c>
      <c r="BZ4" s="13">
        <f>BY4*VLOOKUP('Données projet'!$B$12,Paramètres!$A$1:$I$89,3,0)*VLOOKUP('Données projet'!$B$12,Paramètres!$A$1:$I$89,5,0)</f>
        <v>1.0366626273684145</v>
      </c>
      <c r="CA4" s="13">
        <f>EXP(-1.0587+0.8836*LN(BZ4)+0.284)</f>
        <v>0.47573960617002853</v>
      </c>
      <c r="CB4" s="20">
        <f t="shared" ref="CB4:CB67" si="10">(BZ4+CA4)*0.475*44/12</f>
        <v>2.6341005567461218</v>
      </c>
      <c r="CC4" s="59">
        <f t="shared" ref="CC4:CC67" si="11">CB4+(BT4+BU4)*44/12</f>
        <v>295.96743389007946</v>
      </c>
      <c r="CD4" s="59">
        <f ca="1">AVERAGE(OFFSET($CC$3,0,0,'Données projet'!$E$12+1,1))-AVERAGE(OFFSET($H$3,0,0,'Données projet'!$E$12+1,1))</f>
        <v>119.62076457560073</v>
      </c>
      <c r="CE4" s="59">
        <f>$CE$3</f>
        <v>72.011647893875363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1.2</v>
      </c>
      <c r="CT4" s="12">
        <f>IF('Données projet'!$A$140&gt;35,CT3+CS4-DB3,IF(A4&lt;'Données projet'!$A$140,$CQ$205^A4,IF(A4='Données projet'!$A$140,'Données projet'!$B$140,CT3+CS4-DB3)))</f>
        <v>1.1457367676485573</v>
      </c>
      <c r="CU4" s="17">
        <f>CT4*VLOOKUP('Données projet'!$B$13,Paramètres!$A$1:$I$89,3,0)*VLOOKUP('Données projet'!$B$13,Paramètres!$A$1:$I$89,5,0)</f>
        <v>1.233271056696907</v>
      </c>
      <c r="CV4" s="13">
        <f>EXP(-1.0587+0.8836*LN(CU4)+0.284)</f>
        <v>0.55464025923604754</v>
      </c>
      <c r="CW4" s="20">
        <f t="shared" ref="CW4:CW67" si="13">(CU4+CV4)*0.475*44/12</f>
        <v>3.113945541916562</v>
      </c>
      <c r="CX4" s="59">
        <f t="shared" ref="CX4:CX67" si="14">CW4+(CO4+CP4)*44/12</f>
        <v>296.44727887524988</v>
      </c>
      <c r="CY4" s="59">
        <f ca="1">AVERAGE(OFFSET($CX$3,0,0,'Données projet'!$E$13+1,1))-AVERAGE(OFFSET($H$3,0,0,'Données projet'!$E$13+1,1))</f>
        <v>150.9416300233616</v>
      </c>
      <c r="CZ4" s="59">
        <f>$CZ$3</f>
        <v>92.286636088269972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3.8</v>
      </c>
      <c r="DO4" s="12">
        <f>IF('Données projet'!$A$166&gt;35,DO3+DN4-DW3,IF(A4&lt;'Données projet'!$A$166,$DL$205^A4,IF(A4='Données projet'!$A$166,'Données projet'!$B$166,DO3+DN4-DW3)))</f>
        <v>1.3093577517960842</v>
      </c>
      <c r="DP4" s="17">
        <f>DO4*VLOOKUP('Données projet'!$B$14,Paramètres!$A$1:$I$89,3,0)*VLOOKUP('Données projet'!$B$14,Paramètres!$A$1:$I$89,5,0)</f>
        <v>0.78299593557405833</v>
      </c>
      <c r="DQ4" s="13">
        <f>EXP(-1.0587+0.8836*LN(DP4)+0.284)</f>
        <v>0.37125983376235627</v>
      </c>
      <c r="DR4" s="20">
        <f t="shared" ref="DR4:DR67" si="16">(DP4+DQ4)*0.475*44/12</f>
        <v>2.0103287982609221</v>
      </c>
      <c r="DS4" s="59">
        <f t="shared" ref="DS4:DS67" si="17">DR4+(DJ4+DK4)*44/12</f>
        <v>295.34366213159421</v>
      </c>
      <c r="DT4" s="59">
        <f ca="1">AVERAGE(OFFSET($DS$3,0,0,'Données projet'!$E$14+1,1))-AVERAGE(OFFSET($H$3,0,0,'Données projet'!$E$14+1,1))</f>
        <v>249.22792522076639</v>
      </c>
      <c r="DU4" s="59">
        <f>$DU$3</f>
        <v>244.53725944480669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4.5999999999999996</v>
      </c>
      <c r="EJ4" s="12">
        <f>IF('Données projet'!$A$192&gt;35,EJ3+EI4-ER3,IF(A4&lt;'Données projet'!$A$192,$EG$205^A4,IF(A4='Données projet'!$A$192,'Données projet'!$B$192,EJ3+EI4-ER3)))</f>
        <v>1.466478780211681</v>
      </c>
      <c r="EK4" s="17">
        <f>EJ4*VLOOKUP('Données projet'!$B$15,Paramètres!$A$1:$I$89,3,0)*VLOOKUP('Données projet'!$B$15,Paramètres!$A$1:$I$89,5,0)</f>
        <v>0.8197616381383297</v>
      </c>
      <c r="EL4" s="13">
        <f>EXP(-1.0587+0.8836*LN(EK4)+0.284)</f>
        <v>0.38662187288986211</v>
      </c>
      <c r="EM4" s="20">
        <f t="shared" ref="EM4:EM67" si="19">(EK4+EL4)*0.475*44/12</f>
        <v>2.1011179483741005</v>
      </c>
      <c r="EN4" s="59">
        <f t="shared" ref="EN4:EN67" si="20">EM4+(EE4+EF4)*44/12</f>
        <v>295.43445128170742</v>
      </c>
      <c r="EO4" s="59">
        <f ca="1">AVERAGE(OFFSET($EN$3,0,0,'Données projet'!$E$15+1,1))-AVERAGE(OFFSET($H$3,0,0,'Données projet'!$E$15+1,1))</f>
        <v>313.36787814924116</v>
      </c>
      <c r="EP4" s="59">
        <f>$EP$3</f>
        <v>438.72984487610216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1.2</v>
      </c>
      <c r="N5" s="13">
        <f>IF('Données projet'!$A$36&gt;35,N4+M5-V4,IF(A5&lt;'Données projet'!$A$36,$K$205^A5,IF(A5='Données projet'!$A$36,'Données projet'!$B$36,N4+M5-V4)))</f>
        <v>1.312712740741764</v>
      </c>
      <c r="O5" s="13">
        <f>N5*VLOOKUP('Données projet'!$B$9,Paramètres!$A$1:$I$89,3,0)*VLOOKUP('Données projet'!$B$9,Paramètres!$A$1:$I$89,5,0)</f>
        <v>1.187742487823148</v>
      </c>
      <c r="P5" s="13">
        <f t="shared" ref="P5:P68" si="33">EXP(-1.0587+0.8836*LN(O5)+0.284)</f>
        <v>0.53650859312100496</v>
      </c>
      <c r="Q5" s="20">
        <f t="shared" si="2"/>
        <v>3.0030706326443997</v>
      </c>
      <c r="R5" s="59">
        <f t="shared" si="0"/>
        <v>296.33640396597769</v>
      </c>
      <c r="S5" s="59">
        <f ca="1">AVERAGE(OFFSET($R$3,0,0,'Données projet'!$E$9+1,1))-AVERAGE(OFFSET($H$3,0,0,'Données projet'!$E$9+1,1))</f>
        <v>173.91998182168385</v>
      </c>
      <c r="T5" s="59">
        <f t="shared" ref="T5:T68" si="34">$T$3</f>
        <v>72.011647893875363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1.2</v>
      </c>
      <c r="AI5" s="13">
        <f>IF('Données projet'!$A$62&gt;35,AI4+AH5-AQ4,IF(A5&lt;'Données projet'!$A$62,$AF$205^A5,IF(A5='Données projet'!$A$62,'Données projet'!$B$62,AI4+AH5-AQ4)))</f>
        <v>1.312712740741764</v>
      </c>
      <c r="AJ5" s="13">
        <f>AI5*VLOOKUP('Données projet'!$B$10,Paramètres!$A$1:$I$89,3,0)*VLOOKUP('Données projet'!$B$10,Paramètres!$A$1:$I$89,5,0)</f>
        <v>1.4130039941344348</v>
      </c>
      <c r="AK5" s="13">
        <f t="shared" ref="AK5:AK68" si="35">EXP(-1.0587+0.8836*LN(AJ5)+0.284)</f>
        <v>0.62548768551477418</v>
      </c>
      <c r="AL5" s="20">
        <f t="shared" si="4"/>
        <v>3.5503730087223722</v>
      </c>
      <c r="AM5" s="59">
        <f t="shared" si="5"/>
        <v>296.88370634205569</v>
      </c>
      <c r="AN5" s="59">
        <f ca="1">AVERAGE(OFFSET($AM$3,0,0,'Données projet'!$E$10+1,1))-AVERAGE(OFFSET($H$3,0,0,'Données projet'!$E$10+1,1))</f>
        <v>150.9416300233616</v>
      </c>
      <c r="AO5" s="59">
        <f t="shared" ref="AO5:AO68" si="36">$AO$3</f>
        <v>92.286636088269972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1.2</v>
      </c>
      <c r="BD5" s="12">
        <f>IF('Données projet'!$A$88&gt;35,BD4+BC5-BL4,IF(A5&lt;'Données projet'!$A$88,$BA$205^A5,IF(A5='Données projet'!$A$88,'Données projet'!$B$88,BD4+BC5-BL4)))</f>
        <v>1.312712740741764</v>
      </c>
      <c r="BE5" s="13">
        <f>BD5*VLOOKUP('Données projet'!$B$11,Paramètres!$A$1:$I$89,3,0)*VLOOKUP('Données projet'!$B$11,Paramètres!$A$1:$I$89,5,0)</f>
        <v>1.2696557628454344</v>
      </c>
      <c r="BF5" s="13">
        <f t="shared" ref="BF5:BF68" si="37">EXP(-1.0587+0.8836*LN(BE5)+0.284)</f>
        <v>0.56907434090738995</v>
      </c>
      <c r="BG5" s="20">
        <f t="shared" si="7"/>
        <v>3.2024549307028356</v>
      </c>
      <c r="BH5" s="59">
        <f t="shared" si="8"/>
        <v>296.53578826403617</v>
      </c>
      <c r="BI5" s="59">
        <f ca="1">AVERAGE(OFFSET($BH$3,0,0,'Données projet'!$E$11+1,1))-AVERAGE(OFFSET($H$3,0,0,'Données projet'!$E$11+1,1))</f>
        <v>131.02416800340484</v>
      </c>
      <c r="BJ5" s="59">
        <f t="shared" ref="BJ5:BJ68" si="38">$BJ$3</f>
        <v>79.394119001888555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1.2</v>
      </c>
      <c r="BY5" s="12">
        <f>IF('Données projet'!$A$114&gt;35,BY4+BX5-CG4,IF(A5&lt;'Données projet'!$A$114,$BV$205^A5,IF(A5='Données projet'!$A$114,'Données projet'!$B$114,BY4+BX5-CG4)))</f>
        <v>1.312712740741764</v>
      </c>
      <c r="BZ5" s="13">
        <f>BY5*VLOOKUP('Données projet'!$B$12,Paramètres!$A$1:$I$89,3,0)*VLOOKUP('Données projet'!$B$12,Paramètres!$A$1:$I$89,5,0)</f>
        <v>1.187742487823148</v>
      </c>
      <c r="CA5" s="13">
        <f t="shared" ref="CA5:CA68" si="39">EXP(-1.0587+0.8836*LN(BZ5)+0.284)</f>
        <v>0.53650859312100496</v>
      </c>
      <c r="CB5" s="20">
        <f t="shared" si="10"/>
        <v>3.0030706326443997</v>
      </c>
      <c r="CC5" s="59">
        <f t="shared" si="11"/>
        <v>296.33640396597769</v>
      </c>
      <c r="CD5" s="59">
        <f ca="1">AVERAGE(OFFSET($CC$3,0,0,'Données projet'!$E$12+1,1))-AVERAGE(OFFSET($H$3,0,0,'Données projet'!$E$12+1,1))</f>
        <v>119.62076457560073</v>
      </c>
      <c r="CE5" s="59">
        <f t="shared" ref="CE5:CE68" si="40">$CE$3</f>
        <v>72.011647893875363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1.2</v>
      </c>
      <c r="CT5" s="12">
        <f>IF('Données projet'!$A$140&gt;35,CT4+CS5-DB4,IF(A5&lt;'Données projet'!$A$140,$CQ$205^A5,IF(A5='Données projet'!$A$140,'Données projet'!$B$140,CT4+CS5-DB4)))</f>
        <v>1.312712740741764</v>
      </c>
      <c r="CU5" s="17">
        <f>CT5*VLOOKUP('Données projet'!$B$13,Paramètres!$A$1:$I$89,3,0)*VLOOKUP('Données projet'!$B$13,Paramètres!$A$1:$I$89,5,0)</f>
        <v>1.4130039941344348</v>
      </c>
      <c r="CV5" s="13">
        <f t="shared" ref="CV5:CV68" si="41">EXP(-1.0587+0.8836*LN(CU5)+0.284)</f>
        <v>0.62548768551477418</v>
      </c>
      <c r="CW5" s="20">
        <f t="shared" si="13"/>
        <v>3.5503730087223722</v>
      </c>
      <c r="CX5" s="59">
        <f t="shared" si="14"/>
        <v>296.88370634205569</v>
      </c>
      <c r="CY5" s="59">
        <f ca="1">AVERAGE(OFFSET($CX$3,0,0,'Données projet'!$E$13+1,1))-AVERAGE(OFFSET($H$3,0,0,'Données projet'!$E$13+1,1))</f>
        <v>150.9416300233616</v>
      </c>
      <c r="CZ5" s="59">
        <f t="shared" ref="CZ5:CZ68" si="42">$CZ$3</f>
        <v>92.286636088269972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3.8</v>
      </c>
      <c r="DO5" s="12">
        <f>IF('Données projet'!$A$166&gt;35,DO4+DN5-DW4,IF(A5&lt;'Données projet'!$A$166,$DL$205^A5,IF(A5='Données projet'!$A$166,'Données projet'!$B$166,DO4+DN5-DW4)))</f>
        <v>1.714417722188496</v>
      </c>
      <c r="DP5" s="17">
        <f>DO5*VLOOKUP('Données projet'!$B$14,Paramètres!$A$1:$I$89,3,0)*VLOOKUP('Données projet'!$B$14,Paramètres!$A$1:$I$89,5,0)</f>
        <v>1.0252217978687208</v>
      </c>
      <c r="DQ5" s="13">
        <f t="shared" ref="DQ5:DQ68" si="43">EXP(-1.0587+0.8836*LN(DP5)+0.284)</f>
        <v>0.47109739277938234</v>
      </c>
      <c r="DR5" s="20">
        <f t="shared" si="16"/>
        <v>2.6060892570454466</v>
      </c>
      <c r="DS5" s="59">
        <f t="shared" si="17"/>
        <v>295.93942259037874</v>
      </c>
      <c r="DT5" s="59">
        <f ca="1">AVERAGE(OFFSET($DS$3,0,0,'Données projet'!$E$14+1,1))-AVERAGE(OFFSET($H$3,0,0,'Données projet'!$E$14+1,1))</f>
        <v>249.22792522076639</v>
      </c>
      <c r="DU5" s="59">
        <f t="shared" ref="DU5:DU68" si="44">$DU$3</f>
        <v>244.53725944480669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4.5999999999999996</v>
      </c>
      <c r="EJ5" s="12">
        <f>IF('Données projet'!$A$192&gt;35,EJ4+EI5-ER4,IF(A5&lt;'Données projet'!$A$192,$EG$205^A5,IF(A5='Données projet'!$A$192,'Données projet'!$B$192,EJ4+EI5-ER4)))</f>
        <v>2.1505600128111397</v>
      </c>
      <c r="EK5" s="17">
        <f>EJ5*VLOOKUP('Données projet'!$B$15,Paramètres!$A$1:$I$89,3,0)*VLOOKUP('Données projet'!$B$15,Paramètres!$A$1:$I$89,5,0)</f>
        <v>1.2021630471614273</v>
      </c>
      <c r="EL5" s="13">
        <f t="shared" ref="EL5:EL68" si="45">EXP(-1.0587+0.8836*LN(EK5)+0.284)</f>
        <v>0.54226016556598744</v>
      </c>
      <c r="EM5" s="20">
        <f t="shared" si="19"/>
        <v>3.0382037621669138</v>
      </c>
      <c r="EN5" s="59">
        <f t="shared" si="20"/>
        <v>296.37153709550023</v>
      </c>
      <c r="EO5" s="59">
        <f ca="1">AVERAGE(OFFSET($EN$3,0,0,'Données projet'!$E$15+1,1))-AVERAGE(OFFSET($H$3,0,0,'Données projet'!$E$15+1,1))</f>
        <v>313.36787814924116</v>
      </c>
      <c r="EP5" s="59">
        <f t="shared" ref="EP5:EP68" si="46">$EP$3</f>
        <v>438.72984487610216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1.2</v>
      </c>
      <c r="N6" s="13">
        <f>IF('Données projet'!$A$36&gt;35,N5+M6-V5,IF(A6&lt;'Données projet'!$A$36,$K$205^A6,IF(A6='Données projet'!$A$36,'Données projet'!$B$36,N5+M6-V5)))</f>
        <v>1.5040232524285473</v>
      </c>
      <c r="O6" s="13">
        <f>N6*VLOOKUP('Données projet'!$B$9,Paramètres!$A$1:$I$89,3,0)*VLOOKUP('Données projet'!$B$9,Paramètres!$A$1:$I$89,5,0)</f>
        <v>1.3608402387973495</v>
      </c>
      <c r="P6" s="13">
        <f t="shared" si="33"/>
        <v>0.60503995622724338</v>
      </c>
      <c r="Q6" s="20">
        <f t="shared" si="2"/>
        <v>3.4239080063344987</v>
      </c>
      <c r="R6" s="59">
        <f t="shared" si="0"/>
        <v>296.75724133966781</v>
      </c>
      <c r="S6" s="59">
        <f ca="1">AVERAGE(OFFSET($R$3,0,0,'Données projet'!$E$9+1,1))-AVERAGE(OFFSET($H$3,0,0,'Données projet'!$E$9+1,1))</f>
        <v>173.91998182168385</v>
      </c>
      <c r="T6" s="59">
        <f t="shared" si="34"/>
        <v>72.011647893875363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1.2</v>
      </c>
      <c r="AI6" s="13">
        <f>IF('Données projet'!$A$62&gt;35,AI5+AH6-AQ5,IF(A6&lt;'Données projet'!$A$62,$AF$205^A6,IF(A6='Données projet'!$A$62,'Données projet'!$B$62,AI5+AH6-AQ5)))</f>
        <v>1.5040232524285473</v>
      </c>
      <c r="AJ6" s="13">
        <f>AI6*VLOOKUP('Données projet'!$B$10,Paramètres!$A$1:$I$89,3,0)*VLOOKUP('Données projet'!$B$10,Paramètres!$A$1:$I$89,5,0)</f>
        <v>1.6189306289140883</v>
      </c>
      <c r="AK6" s="13">
        <f t="shared" si="35"/>
        <v>0.70538486562354785</v>
      </c>
      <c r="AL6" s="20">
        <f t="shared" si="4"/>
        <v>4.0481828196530492</v>
      </c>
      <c r="AM6" s="59">
        <f t="shared" si="5"/>
        <v>297.38151615298636</v>
      </c>
      <c r="AN6" s="59">
        <f ca="1">AVERAGE(OFFSET($AM$3,0,0,'Données projet'!$E$10+1,1))-AVERAGE(OFFSET($H$3,0,0,'Données projet'!$E$10+1,1))</f>
        <v>150.9416300233616</v>
      </c>
      <c r="AO6" s="59">
        <f t="shared" si="36"/>
        <v>92.286636088269972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1.2</v>
      </c>
      <c r="BD6" s="12">
        <f>IF('Données projet'!$A$88&gt;35,BD5+BC6-BL5,IF(A6&lt;'Données projet'!$A$88,$BA$205^A6,IF(A6='Données projet'!$A$88,'Données projet'!$B$88,BD5+BC6-BL5)))</f>
        <v>1.5040232524285473</v>
      </c>
      <c r="BE6" s="13">
        <f>BD6*VLOOKUP('Données projet'!$B$11,Paramètres!$A$1:$I$89,3,0)*VLOOKUP('Données projet'!$B$11,Paramètres!$A$1:$I$89,5,0)</f>
        <v>1.4546912897488911</v>
      </c>
      <c r="BF6" s="13">
        <f t="shared" si="37"/>
        <v>0.64176551639126822</v>
      </c>
      <c r="BG6" s="20">
        <f t="shared" si="7"/>
        <v>3.6513289373607773</v>
      </c>
      <c r="BH6" s="59">
        <f t="shared" si="8"/>
        <v>296.98466227069412</v>
      </c>
      <c r="BI6" s="59">
        <f ca="1">AVERAGE(OFFSET($BH$3,0,0,'Données projet'!$E$11+1,1))-AVERAGE(OFFSET($H$3,0,0,'Données projet'!$E$11+1,1))</f>
        <v>131.02416800340484</v>
      </c>
      <c r="BJ6" s="59">
        <f t="shared" si="38"/>
        <v>79.394119001888555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1.2</v>
      </c>
      <c r="BY6" s="12">
        <f>IF('Données projet'!$A$114&gt;35,BY5+BX6-CG5,IF(A6&lt;'Données projet'!$A$114,$BV$205^A6,IF(A6='Données projet'!$A$114,'Données projet'!$B$114,BY5+BX6-CG5)))</f>
        <v>1.5040232524285473</v>
      </c>
      <c r="BZ6" s="13">
        <f>BY6*VLOOKUP('Données projet'!$B$12,Paramètres!$A$1:$I$89,3,0)*VLOOKUP('Données projet'!$B$12,Paramètres!$A$1:$I$89,5,0)</f>
        <v>1.3608402387973495</v>
      </c>
      <c r="CA6" s="13">
        <f t="shared" si="39"/>
        <v>0.60503995622724338</v>
      </c>
      <c r="CB6" s="20">
        <f t="shared" si="10"/>
        <v>3.4239080063344987</v>
      </c>
      <c r="CC6" s="59">
        <f t="shared" si="11"/>
        <v>296.75724133966781</v>
      </c>
      <c r="CD6" s="59">
        <f ca="1">AVERAGE(OFFSET($CC$3,0,0,'Données projet'!$E$12+1,1))-AVERAGE(OFFSET($H$3,0,0,'Données projet'!$E$12+1,1))</f>
        <v>119.62076457560073</v>
      </c>
      <c r="CE6" s="59">
        <f t="shared" si="40"/>
        <v>72.011647893875363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1.2</v>
      </c>
      <c r="CT6" s="12">
        <f>IF('Données projet'!$A$140&gt;35,CT5+CS6-DB5,IF(A6&lt;'Données projet'!$A$140,$CQ$205^A6,IF(A6='Données projet'!$A$140,'Données projet'!$B$140,CT5+CS6-DB5)))</f>
        <v>1.5040232524285473</v>
      </c>
      <c r="CU6" s="17">
        <f>CT6*VLOOKUP('Données projet'!$B$13,Paramètres!$A$1:$I$89,3,0)*VLOOKUP('Données projet'!$B$13,Paramètres!$A$1:$I$89,5,0)</f>
        <v>1.6189306289140883</v>
      </c>
      <c r="CV6" s="13">
        <f t="shared" si="41"/>
        <v>0.70538486562354785</v>
      </c>
      <c r="CW6" s="20">
        <f t="shared" si="13"/>
        <v>4.0481828196530492</v>
      </c>
      <c r="CX6" s="59">
        <f t="shared" si="14"/>
        <v>297.38151615298636</v>
      </c>
      <c r="CY6" s="59">
        <f ca="1">AVERAGE(OFFSET($CX$3,0,0,'Données projet'!$E$13+1,1))-AVERAGE(OFFSET($H$3,0,0,'Données projet'!$E$13+1,1))</f>
        <v>150.9416300233616</v>
      </c>
      <c r="CZ6" s="59">
        <f t="shared" si="42"/>
        <v>92.286636088269972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3.8</v>
      </c>
      <c r="DO6" s="12">
        <f>IF('Données projet'!$A$166&gt;35,DO5+DN6-DW5,IF(A6&lt;'Données projet'!$A$166,$DL$205^A6,IF(A6='Données projet'!$A$166,'Données projet'!$B$166,DO5+DN6-DW5)))</f>
        <v>2.2447861343640927</v>
      </c>
      <c r="DP6" s="17">
        <f>DO6*VLOOKUP('Données projet'!$B$14,Paramètres!$A$1:$I$89,3,0)*VLOOKUP('Données projet'!$B$14,Paramètres!$A$1:$I$89,5,0)</f>
        <v>1.3423821083497276</v>
      </c>
      <c r="DQ6" s="13">
        <f t="shared" si="43"/>
        <v>0.59778282836163454</v>
      </c>
      <c r="DR6" s="20">
        <f t="shared" si="16"/>
        <v>3.3791205981056223</v>
      </c>
      <c r="DS6" s="59">
        <f t="shared" si="17"/>
        <v>296.71245393143892</v>
      </c>
      <c r="DT6" s="59">
        <f ca="1">AVERAGE(OFFSET($DS$3,0,0,'Données projet'!$E$14+1,1))-AVERAGE(OFFSET($H$3,0,0,'Données projet'!$E$14+1,1))</f>
        <v>249.22792522076639</v>
      </c>
      <c r="DU6" s="59">
        <f t="shared" si="44"/>
        <v>244.53725944480669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4.5999999999999996</v>
      </c>
      <c r="EJ6" s="12">
        <f>IF('Données projet'!$A$192&gt;35,EJ5+EI6-ER5,IF(A6&lt;'Données projet'!$A$192,$EG$205^A6,IF(A6='Données projet'!$A$192,'Données projet'!$B$192,EJ5+EI6-ER5)))</f>
        <v>3.1537506243592972</v>
      </c>
      <c r="EK6" s="17">
        <f>EJ6*VLOOKUP('Données projet'!$B$15,Paramètres!$A$1:$I$89,3,0)*VLOOKUP('Données projet'!$B$15,Paramètres!$A$1:$I$89,5,0)</f>
        <v>1.7629465990168471</v>
      </c>
      <c r="EL6" s="13">
        <f t="shared" si="45"/>
        <v>0.76055212541846451</v>
      </c>
      <c r="EM6" s="20">
        <f t="shared" si="19"/>
        <v>4.3950936117248345</v>
      </c>
      <c r="EN6" s="59">
        <f t="shared" si="20"/>
        <v>297.72842694505817</v>
      </c>
      <c r="EO6" s="59">
        <f ca="1">AVERAGE(OFFSET($EN$3,0,0,'Données projet'!$E$15+1,1))-AVERAGE(OFFSET($H$3,0,0,'Données projet'!$E$15+1,1))</f>
        <v>313.36787814924116</v>
      </c>
      <c r="EP6" s="59">
        <f t="shared" si="46"/>
        <v>438.72984487610216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1.2</v>
      </c>
      <c r="N7" s="13">
        <f>IF('Données projet'!$A$36&gt;35,N6+M7-V6,IF(A7&lt;'Données projet'!$A$36,$K$205^A7,IF(A7='Données projet'!$A$36,'Données projet'!$B$36,N6+M7-V6)))</f>
        <v>1.7232147397057538</v>
      </c>
      <c r="O7" s="13">
        <f>N7*VLOOKUP('Données projet'!$B$9,Paramètres!$A$1:$I$89,3,0)*VLOOKUP('Données projet'!$B$9,Paramètres!$A$1:$I$89,5,0)</f>
        <v>1.5591646964857659</v>
      </c>
      <c r="P7" s="13">
        <f t="shared" si="33"/>
        <v>0.68232522894353675</v>
      </c>
      <c r="Q7" s="20">
        <f t="shared" si="2"/>
        <v>3.9039282867893692</v>
      </c>
      <c r="R7" s="59">
        <f t="shared" si="0"/>
        <v>297.23726162012269</v>
      </c>
      <c r="S7" s="59">
        <f ca="1">AVERAGE(OFFSET($R$3,0,0,'Données projet'!$E$9+1,1))-AVERAGE(OFFSET($H$3,0,0,'Données projet'!$E$9+1,1))</f>
        <v>173.91998182168385</v>
      </c>
      <c r="T7" s="59">
        <f t="shared" si="34"/>
        <v>72.011647893875363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1.2</v>
      </c>
      <c r="AI7" s="13">
        <f>IF('Données projet'!$A$62&gt;35,AI6+AH7-AQ6,IF(A7&lt;'Données projet'!$A$62,$AF$205^A7,IF(A7='Données projet'!$A$62,'Données projet'!$B$62,AI6+AH7-AQ6)))</f>
        <v>1.7232147397057538</v>
      </c>
      <c r="AJ7" s="13">
        <f>AI7*VLOOKUP('Données projet'!$B$10,Paramètres!$A$1:$I$89,3,0)*VLOOKUP('Données projet'!$B$10,Paramètres!$A$1:$I$89,5,0)</f>
        <v>1.8548683458192732</v>
      </c>
      <c r="AK7" s="13">
        <f t="shared" si="35"/>
        <v>0.79548777725536501</v>
      </c>
      <c r="AL7" s="20">
        <f t="shared" si="4"/>
        <v>4.6160369143549937</v>
      </c>
      <c r="AM7" s="59">
        <f t="shared" si="5"/>
        <v>297.94937024768831</v>
      </c>
      <c r="AN7" s="59">
        <f ca="1">AVERAGE(OFFSET($AM$3,0,0,'Données projet'!$E$10+1,1))-AVERAGE(OFFSET($H$3,0,0,'Données projet'!$E$10+1,1))</f>
        <v>150.9416300233616</v>
      </c>
      <c r="AO7" s="59">
        <f t="shared" si="36"/>
        <v>92.286636088269972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1.2</v>
      </c>
      <c r="BD7" s="12">
        <f>IF('Données projet'!$A$88&gt;35,BD6+BC7-BL6,IF(A7&lt;'Données projet'!$A$88,$BA$205^A7,IF(A7='Données projet'!$A$88,'Données projet'!$B$88,BD6+BC7-BL6)))</f>
        <v>1.7232147397057538</v>
      </c>
      <c r="BE7" s="13">
        <f>BD7*VLOOKUP('Données projet'!$B$11,Paramètres!$A$1:$I$89,3,0)*VLOOKUP('Données projet'!$B$11,Paramètres!$A$1:$I$89,5,0)</f>
        <v>1.6666932962434051</v>
      </c>
      <c r="BF7" s="13">
        <f t="shared" si="37"/>
        <v>0.72374195851500689</v>
      </c>
      <c r="BG7" s="20">
        <f t="shared" si="7"/>
        <v>4.1633414020375676</v>
      </c>
      <c r="BH7" s="59">
        <f t="shared" si="8"/>
        <v>297.4966747353709</v>
      </c>
      <c r="BI7" s="59">
        <f ca="1">AVERAGE(OFFSET($BH$3,0,0,'Données projet'!$E$11+1,1))-AVERAGE(OFFSET($H$3,0,0,'Données projet'!$E$11+1,1))</f>
        <v>131.02416800340484</v>
      </c>
      <c r="BJ7" s="59">
        <f t="shared" si="38"/>
        <v>79.394119001888555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1.2</v>
      </c>
      <c r="BY7" s="12">
        <f>IF('Données projet'!$A$114&gt;35,BY6+BX7-CG6,IF(A7&lt;'Données projet'!$A$114,$BV$205^A7,IF(A7='Données projet'!$A$114,'Données projet'!$B$114,BY6+BX7-CG6)))</f>
        <v>1.7232147397057538</v>
      </c>
      <c r="BZ7" s="13">
        <f>BY7*VLOOKUP('Données projet'!$B$12,Paramètres!$A$1:$I$89,3,0)*VLOOKUP('Données projet'!$B$12,Paramètres!$A$1:$I$89,5,0)</f>
        <v>1.5591646964857659</v>
      </c>
      <c r="CA7" s="13">
        <f t="shared" si="39"/>
        <v>0.68232522894353675</v>
      </c>
      <c r="CB7" s="20">
        <f t="shared" si="10"/>
        <v>3.9039282867893692</v>
      </c>
      <c r="CC7" s="59">
        <f t="shared" si="11"/>
        <v>297.23726162012269</v>
      </c>
      <c r="CD7" s="59">
        <f ca="1">AVERAGE(OFFSET($CC$3,0,0,'Données projet'!$E$12+1,1))-AVERAGE(OFFSET($H$3,0,0,'Données projet'!$E$12+1,1))</f>
        <v>119.62076457560073</v>
      </c>
      <c r="CE7" s="59">
        <f t="shared" si="40"/>
        <v>72.011647893875363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1.2</v>
      </c>
      <c r="CT7" s="12">
        <f>IF('Données projet'!$A$140&gt;35,CT6+CS7-DB6,IF(A7&lt;'Données projet'!$A$140,$CQ$205^A7,IF(A7='Données projet'!$A$140,'Données projet'!$B$140,CT6+CS7-DB6)))</f>
        <v>1.7232147397057538</v>
      </c>
      <c r="CU7" s="17">
        <f>CT7*VLOOKUP('Données projet'!$B$13,Paramètres!$A$1:$I$89,3,0)*VLOOKUP('Données projet'!$B$13,Paramètres!$A$1:$I$89,5,0)</f>
        <v>1.8548683458192732</v>
      </c>
      <c r="CV7" s="13">
        <f t="shared" si="41"/>
        <v>0.79548777725536501</v>
      </c>
      <c r="CW7" s="20">
        <f t="shared" si="13"/>
        <v>4.6160369143549937</v>
      </c>
      <c r="CX7" s="59">
        <f t="shared" si="14"/>
        <v>297.94937024768831</v>
      </c>
      <c r="CY7" s="59">
        <f ca="1">AVERAGE(OFFSET($CX$3,0,0,'Données projet'!$E$13+1,1))-AVERAGE(OFFSET($H$3,0,0,'Données projet'!$E$13+1,1))</f>
        <v>150.9416300233616</v>
      </c>
      <c r="CZ7" s="59">
        <f t="shared" si="42"/>
        <v>92.286636088269972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3.8</v>
      </c>
      <c r="DO7" s="12">
        <f>IF('Données projet'!$A$166&gt;35,DO6+DN7-DW6,IF(A7&lt;'Données projet'!$A$166,$DL$205^A7,IF(A7='Données projet'!$A$166,'Données projet'!$B$166,DO6+DN7-DW6)))</f>
        <v>2.9392281261539908</v>
      </c>
      <c r="DP7" s="17">
        <f>DO7*VLOOKUP('Données projet'!$B$14,Paramètres!$A$1:$I$89,3,0)*VLOOKUP('Données projet'!$B$14,Paramètres!$A$1:$I$89,5,0)</f>
        <v>1.7576584194400868</v>
      </c>
      <c r="DQ7" s="13">
        <f t="shared" si="43"/>
        <v>0.75853595320444034</v>
      </c>
      <c r="DR7" s="20">
        <f t="shared" si="16"/>
        <v>4.3823718656892181</v>
      </c>
      <c r="DS7" s="59">
        <f t="shared" si="17"/>
        <v>297.71570519902252</v>
      </c>
      <c r="DT7" s="59">
        <f ca="1">AVERAGE(OFFSET($DS$3,0,0,'Données projet'!$E$14+1,1))-AVERAGE(OFFSET($H$3,0,0,'Données projet'!$E$14+1,1))</f>
        <v>249.22792522076639</v>
      </c>
      <c r="DU7" s="59">
        <f t="shared" si="44"/>
        <v>244.53725944480669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4.5999999999999996</v>
      </c>
      <c r="EJ7" s="12">
        <f>IF('Données projet'!$A$192&gt;35,EJ6+EI7-ER6,IF(A7&lt;'Données projet'!$A$192,$EG$205^A7,IF(A7='Données projet'!$A$192,'Données projet'!$B$192,EJ6+EI7-ER6)))</f>
        <v>4.6249083687022496</v>
      </c>
      <c r="EK7" s="17">
        <f>EJ7*VLOOKUP('Données projet'!$B$15,Paramètres!$A$1:$I$89,3,0)*VLOOKUP('Données projet'!$B$15,Paramètres!$A$1:$I$89,5,0)</f>
        <v>2.5853237781045575</v>
      </c>
      <c r="EL7" s="13">
        <f t="shared" si="45"/>
        <v>1.0667195789216675</v>
      </c>
      <c r="EM7" s="20">
        <f t="shared" si="19"/>
        <v>6.3606421801540085</v>
      </c>
      <c r="EN7" s="59">
        <f t="shared" si="20"/>
        <v>299.69397551348732</v>
      </c>
      <c r="EO7" s="59">
        <f ca="1">AVERAGE(OFFSET($EN$3,0,0,'Données projet'!$E$15+1,1))-AVERAGE(OFFSET($H$3,0,0,'Données projet'!$E$15+1,1))</f>
        <v>313.36787814924116</v>
      </c>
      <c r="EP7" s="59">
        <f t="shared" si="46"/>
        <v>438.72984487610216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1.2</v>
      </c>
      <c r="N8" s="13">
        <f>IF('Données projet'!$A$36&gt;35,N7+M8-V7,IF(A8&lt;'Données projet'!$A$36,$K$205^A8,IF(A8='Données projet'!$A$36,'Données projet'!$B$36,N7+M8-V7)))</f>
        <v>1.9743504858348202</v>
      </c>
      <c r="O8" s="13">
        <f>N8*VLOOKUP('Données projet'!$B$9,Paramètres!$A$1:$I$89,3,0)*VLOOKUP('Données projet'!$B$9,Paramètres!$A$1:$I$89,5,0)</f>
        <v>1.7863923195833453</v>
      </c>
      <c r="P8" s="13">
        <f t="shared" si="33"/>
        <v>0.76948259905993732</v>
      </c>
      <c r="Q8" s="20">
        <f t="shared" si="2"/>
        <v>4.4514821499703841</v>
      </c>
      <c r="R8" s="59">
        <f t="shared" si="0"/>
        <v>297.7848154833037</v>
      </c>
      <c r="S8" s="59">
        <f ca="1">AVERAGE(OFFSET($R$3,0,0,'Données projet'!$E$9+1,1))-AVERAGE(OFFSET($H$3,0,0,'Données projet'!$E$9+1,1))</f>
        <v>173.91998182168385</v>
      </c>
      <c r="T8" s="59">
        <f t="shared" si="34"/>
        <v>72.011647893875363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1.2</v>
      </c>
      <c r="AI8" s="13">
        <f>IF('Données projet'!$A$62&gt;35,AI7+AH8-AQ7,IF(A8&lt;'Données projet'!$A$62,$AF$205^A8,IF(A8='Données projet'!$A$62,'Données projet'!$B$62,AI7+AH8-AQ7)))</f>
        <v>1.9743504858348202</v>
      </c>
      <c r="AJ8" s="13">
        <f>AI8*VLOOKUP('Données projet'!$B$10,Paramètres!$A$1:$I$89,3,0)*VLOOKUP('Données projet'!$B$10,Paramètres!$A$1:$I$89,5,0)</f>
        <v>2.1251908629526004</v>
      </c>
      <c r="AK8" s="13">
        <f t="shared" si="35"/>
        <v>0.89710005785748825</v>
      </c>
      <c r="AL8" s="20">
        <f t="shared" si="4"/>
        <v>5.2638233537442369</v>
      </c>
      <c r="AM8" s="59">
        <f t="shared" si="5"/>
        <v>298.59715668707753</v>
      </c>
      <c r="AN8" s="59">
        <f ca="1">AVERAGE(OFFSET($AM$3,0,0,'Données projet'!$E$10+1,1))-AVERAGE(OFFSET($H$3,0,0,'Données projet'!$E$10+1,1))</f>
        <v>150.9416300233616</v>
      </c>
      <c r="AO8" s="59">
        <f t="shared" si="36"/>
        <v>92.286636088269972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1.2</v>
      </c>
      <c r="BD8" s="12">
        <f>IF('Données projet'!$A$88&gt;35,BD7+BC8-BL7,IF(A8&lt;'Données projet'!$A$88,$BA$205^A8,IF(A8='Données projet'!$A$88,'Données projet'!$B$88,BD7+BC8-BL7)))</f>
        <v>1.9743504858348202</v>
      </c>
      <c r="BE8" s="13">
        <f>BD8*VLOOKUP('Données projet'!$B$11,Paramètres!$A$1:$I$89,3,0)*VLOOKUP('Données projet'!$B$11,Paramètres!$A$1:$I$89,5,0)</f>
        <v>1.9095917898994379</v>
      </c>
      <c r="BF8" s="13">
        <f t="shared" si="37"/>
        <v>0.81618972839261894</v>
      </c>
      <c r="BG8" s="20">
        <f t="shared" si="7"/>
        <v>4.7474028110253315</v>
      </c>
      <c r="BH8" s="59">
        <f t="shared" si="8"/>
        <v>298.08073614435864</v>
      </c>
      <c r="BI8" s="59">
        <f ca="1">AVERAGE(OFFSET($BH$3,0,0,'Données projet'!$E$11+1,1))-AVERAGE(OFFSET($H$3,0,0,'Données projet'!$E$11+1,1))</f>
        <v>131.02416800340484</v>
      </c>
      <c r="BJ8" s="59">
        <f t="shared" si="38"/>
        <v>79.394119001888555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1.2</v>
      </c>
      <c r="BY8" s="12">
        <f>IF('Données projet'!$A$114&gt;35,BY7+BX8-CG7,IF(A8&lt;'Données projet'!$A$114,$BV$205^A8,IF(A8='Données projet'!$A$114,'Données projet'!$B$114,BY7+BX8-CG7)))</f>
        <v>1.9743504858348202</v>
      </c>
      <c r="BZ8" s="13">
        <f>BY8*VLOOKUP('Données projet'!$B$12,Paramètres!$A$1:$I$89,3,0)*VLOOKUP('Données projet'!$B$12,Paramètres!$A$1:$I$89,5,0)</f>
        <v>1.7863923195833453</v>
      </c>
      <c r="CA8" s="13">
        <f t="shared" si="39"/>
        <v>0.76948259905993732</v>
      </c>
      <c r="CB8" s="20">
        <f t="shared" si="10"/>
        <v>4.4514821499703841</v>
      </c>
      <c r="CC8" s="59">
        <f t="shared" si="11"/>
        <v>297.7848154833037</v>
      </c>
      <c r="CD8" s="59">
        <f ca="1">AVERAGE(OFFSET($CC$3,0,0,'Données projet'!$E$12+1,1))-AVERAGE(OFFSET($H$3,0,0,'Données projet'!$E$12+1,1))</f>
        <v>119.62076457560073</v>
      </c>
      <c r="CE8" s="59">
        <f t="shared" si="40"/>
        <v>72.011647893875363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1.2</v>
      </c>
      <c r="CT8" s="12">
        <f>IF('Données projet'!$A$140&gt;35,CT7+CS8-DB7,IF(A8&lt;'Données projet'!$A$140,$CQ$205^A8,IF(A8='Données projet'!$A$140,'Données projet'!$B$140,CT7+CS8-DB7)))</f>
        <v>1.9743504858348202</v>
      </c>
      <c r="CU8" s="17">
        <f>CT8*VLOOKUP('Données projet'!$B$13,Paramètres!$A$1:$I$89,3,0)*VLOOKUP('Données projet'!$B$13,Paramètres!$A$1:$I$89,5,0)</f>
        <v>2.1251908629526004</v>
      </c>
      <c r="CV8" s="13">
        <f t="shared" si="41"/>
        <v>0.89710005785748825</v>
      </c>
      <c r="CW8" s="20">
        <f t="shared" si="13"/>
        <v>5.2638233537442369</v>
      </c>
      <c r="CX8" s="59">
        <f t="shared" si="14"/>
        <v>298.59715668707753</v>
      </c>
      <c r="CY8" s="59">
        <f ca="1">AVERAGE(OFFSET($CX$3,0,0,'Données projet'!$E$13+1,1))-AVERAGE(OFFSET($H$3,0,0,'Données projet'!$E$13+1,1))</f>
        <v>150.9416300233616</v>
      </c>
      <c r="CZ8" s="59">
        <f t="shared" si="42"/>
        <v>92.286636088269972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3.8</v>
      </c>
      <c r="DO8" s="12">
        <f>IF('Données projet'!$A$166&gt;35,DO7+DN8-DW7,IF(A8&lt;'Données projet'!$A$166,$DL$205^A8,IF(A8='Données projet'!$A$166,'Données projet'!$B$166,DO7+DN8-DW7)))</f>
        <v>3.8485011312768065</v>
      </c>
      <c r="DP8" s="17">
        <f>DO8*VLOOKUP('Données projet'!$B$14,Paramètres!$A$1:$I$89,3,0)*VLOOKUP('Données projet'!$B$14,Paramètres!$A$1:$I$89,5,0)</f>
        <v>2.3014036765035306</v>
      </c>
      <c r="DQ8" s="13">
        <f t="shared" si="43"/>
        <v>0.96251810022834772</v>
      </c>
      <c r="DR8" s="20">
        <f t="shared" si="16"/>
        <v>5.684663761141354</v>
      </c>
      <c r="DS8" s="59">
        <f t="shared" si="17"/>
        <v>299.01799709447465</v>
      </c>
      <c r="DT8" s="59">
        <f ca="1">AVERAGE(OFFSET($DS$3,0,0,'Données projet'!$E$14+1,1))-AVERAGE(OFFSET($H$3,0,0,'Données projet'!$E$14+1,1))</f>
        <v>249.22792522076639</v>
      </c>
      <c r="DU8" s="59">
        <f t="shared" si="44"/>
        <v>244.53725944480669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4.5999999999999996</v>
      </c>
      <c r="EJ8" s="12">
        <f>IF('Données projet'!$A$192&gt;35,EJ7+EI8-ER7,IF(A8&lt;'Données projet'!$A$192,$EG$205^A8,IF(A8='Données projet'!$A$192,'Données projet'!$B$192,EJ7+EI8-ER7)))</f>
        <v>6.7823299831252708</v>
      </c>
      <c r="EK8" s="17">
        <f>EJ8*VLOOKUP('Données projet'!$B$15,Paramètres!$A$1:$I$89,3,0)*VLOOKUP('Données projet'!$B$15,Paramètres!$A$1:$I$89,5,0)</f>
        <v>3.7913224605670264</v>
      </c>
      <c r="EL8" s="13">
        <f t="shared" si="45"/>
        <v>1.4961376374153703</v>
      </c>
      <c r="EM8" s="20">
        <f t="shared" si="19"/>
        <v>9.2089930039860075</v>
      </c>
      <c r="EN8" s="59">
        <f t="shared" si="20"/>
        <v>302.54232633731931</v>
      </c>
      <c r="EO8" s="59">
        <f ca="1">AVERAGE(OFFSET($EN$3,0,0,'Données projet'!$E$15+1,1))-AVERAGE(OFFSET($H$3,0,0,'Données projet'!$E$15+1,1))</f>
        <v>313.36787814924116</v>
      </c>
      <c r="EP8" s="59">
        <f t="shared" si="46"/>
        <v>438.72984487610216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1.2</v>
      </c>
      <c r="N9" s="13">
        <f>IF('Données projet'!$A$36&gt;35,N8+M9-V8,IF(A9&lt;'Données projet'!$A$36,$K$205^A9,IF(A9='Données projet'!$A$36,'Données projet'!$B$36,N8+M9-V8)))</f>
        <v>2.2620859438457455</v>
      </c>
      <c r="O9" s="13">
        <f>N9*VLOOKUP('Données projet'!$B$9,Paramètres!$A$1:$I$89,3,0)*VLOOKUP('Données projet'!$B$9,Paramètres!$A$1:$I$89,5,0)</f>
        <v>2.0467353619916304</v>
      </c>
      <c r="P9" s="13">
        <f t="shared" si="33"/>
        <v>0.86777308699666067</v>
      </c>
      <c r="Q9" s="20">
        <f t="shared" si="2"/>
        <v>5.0761022153212734</v>
      </c>
      <c r="R9" s="59">
        <f t="shared" si="0"/>
        <v>298.40943554865459</v>
      </c>
      <c r="S9" s="59">
        <f ca="1">AVERAGE(OFFSET($R$3,0,0,'Données projet'!$E$9+1,1))-AVERAGE(OFFSET($H$3,0,0,'Données projet'!$E$9+1,1))</f>
        <v>173.91998182168385</v>
      </c>
      <c r="T9" s="59">
        <f t="shared" si="34"/>
        <v>72.011647893875363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1.2</v>
      </c>
      <c r="AI9" s="13">
        <f>IF('Données projet'!$A$62&gt;35,AI8+AH9-AQ8,IF(A9&lt;'Données projet'!$A$62,$AF$205^A9,IF(A9='Données projet'!$A$62,'Données projet'!$B$62,AI8+AH9-AQ8)))</f>
        <v>2.2620859438457455</v>
      </c>
      <c r="AJ9" s="13">
        <f>AI9*VLOOKUP('Données projet'!$B$10,Paramètres!$A$1:$I$89,3,0)*VLOOKUP('Données projet'!$B$10,Paramètres!$A$1:$I$89,5,0)</f>
        <v>2.4349093099555601</v>
      </c>
      <c r="AK9" s="13">
        <f t="shared" si="35"/>
        <v>1.0116918660706939</v>
      </c>
      <c r="AL9" s="20">
        <f t="shared" si="4"/>
        <v>6.0028303815790593</v>
      </c>
      <c r="AM9" s="59">
        <f t="shared" si="5"/>
        <v>299.33616371491235</v>
      </c>
      <c r="AN9" s="59">
        <f ca="1">AVERAGE(OFFSET($AM$3,0,0,'Données projet'!$E$10+1,1))-AVERAGE(OFFSET($H$3,0,0,'Données projet'!$E$10+1,1))</f>
        <v>150.9416300233616</v>
      </c>
      <c r="AO9" s="59">
        <f t="shared" si="36"/>
        <v>92.286636088269972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1.2</v>
      </c>
      <c r="BD9" s="12">
        <f>IF('Données projet'!$A$88&gt;35,BD8+BC9-BL8,IF(A9&lt;'Données projet'!$A$88,$BA$205^A9,IF(A9='Données projet'!$A$88,'Données projet'!$B$88,BD8+BC9-BL8)))</f>
        <v>2.2620859438457455</v>
      </c>
      <c r="BE9" s="13">
        <f>BD9*VLOOKUP('Données projet'!$B$11,Paramètres!$A$1:$I$89,3,0)*VLOOKUP('Données projet'!$B$11,Paramètres!$A$1:$I$89,5,0)</f>
        <v>2.1878895248876051</v>
      </c>
      <c r="BF9" s="13">
        <f t="shared" si="37"/>
        <v>0.92044638962272363</v>
      </c>
      <c r="BG9" s="20">
        <f t="shared" si="7"/>
        <v>5.4136850511054888</v>
      </c>
      <c r="BH9" s="59">
        <f t="shared" si="8"/>
        <v>298.74701838443877</v>
      </c>
      <c r="BI9" s="59">
        <f ca="1">AVERAGE(OFFSET($BH$3,0,0,'Données projet'!$E$11+1,1))-AVERAGE(OFFSET($H$3,0,0,'Données projet'!$E$11+1,1))</f>
        <v>131.02416800340484</v>
      </c>
      <c r="BJ9" s="59">
        <f t="shared" si="38"/>
        <v>79.394119001888555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1.2</v>
      </c>
      <c r="BY9" s="12">
        <f>IF('Données projet'!$A$114&gt;35,BY8+BX9-CG8,IF(A9&lt;'Données projet'!$A$114,$BV$205^A9,IF(A9='Données projet'!$A$114,'Données projet'!$B$114,BY8+BX9-CG8)))</f>
        <v>2.2620859438457455</v>
      </c>
      <c r="BZ9" s="13">
        <f>BY9*VLOOKUP('Données projet'!$B$12,Paramètres!$A$1:$I$89,3,0)*VLOOKUP('Données projet'!$B$12,Paramètres!$A$1:$I$89,5,0)</f>
        <v>2.0467353619916304</v>
      </c>
      <c r="CA9" s="13">
        <f t="shared" si="39"/>
        <v>0.86777308699666067</v>
      </c>
      <c r="CB9" s="20">
        <f t="shared" si="10"/>
        <v>5.0761022153212734</v>
      </c>
      <c r="CC9" s="59">
        <f t="shared" si="11"/>
        <v>298.40943554865459</v>
      </c>
      <c r="CD9" s="59">
        <f ca="1">AVERAGE(OFFSET($CC$3,0,0,'Données projet'!$E$12+1,1))-AVERAGE(OFFSET($H$3,0,0,'Données projet'!$E$12+1,1))</f>
        <v>119.62076457560073</v>
      </c>
      <c r="CE9" s="59">
        <f t="shared" si="40"/>
        <v>72.011647893875363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1.2</v>
      </c>
      <c r="CT9" s="12">
        <f>IF('Données projet'!$A$140&gt;35,CT8+CS9-DB8,IF(A9&lt;'Données projet'!$A$140,$CQ$205^A9,IF(A9='Données projet'!$A$140,'Données projet'!$B$140,CT8+CS9-DB8)))</f>
        <v>2.2620859438457455</v>
      </c>
      <c r="CU9" s="17">
        <f>CT9*VLOOKUP('Données projet'!$B$13,Paramètres!$A$1:$I$89,3,0)*VLOOKUP('Données projet'!$B$13,Paramètres!$A$1:$I$89,5,0)</f>
        <v>2.4349093099555601</v>
      </c>
      <c r="CV9" s="13">
        <f t="shared" si="41"/>
        <v>1.0116918660706939</v>
      </c>
      <c r="CW9" s="20">
        <f t="shared" si="13"/>
        <v>6.0028303815790593</v>
      </c>
      <c r="CX9" s="59">
        <f t="shared" si="14"/>
        <v>299.33616371491235</v>
      </c>
      <c r="CY9" s="59">
        <f ca="1">AVERAGE(OFFSET($CX$3,0,0,'Données projet'!$E$13+1,1))-AVERAGE(OFFSET($H$3,0,0,'Données projet'!$E$13+1,1))</f>
        <v>150.9416300233616</v>
      </c>
      <c r="CZ9" s="59">
        <f t="shared" si="42"/>
        <v>92.286636088269972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3.8</v>
      </c>
      <c r="DO9" s="12">
        <f>IF('Données projet'!$A$166&gt;35,DO8+DN9-DW8,IF(A9&lt;'Données projet'!$A$166,$DL$205^A9,IF(A9='Données projet'!$A$166,'Données projet'!$B$166,DO8+DN9-DW8)))</f>
        <v>5.0390647890332865</v>
      </c>
      <c r="DP9" s="17">
        <f>DO9*VLOOKUP('Données projet'!$B$14,Paramètres!$A$1:$I$89,3,0)*VLOOKUP('Données projet'!$B$14,Paramètres!$A$1:$I$89,5,0)</f>
        <v>3.0133607438419054</v>
      </c>
      <c r="DQ9" s="13">
        <f t="shared" si="43"/>
        <v>1.2213542276452829</v>
      </c>
      <c r="DR9" s="20">
        <f t="shared" si="16"/>
        <v>7.3754619086735183</v>
      </c>
      <c r="DS9" s="59">
        <f t="shared" si="17"/>
        <v>300.70879524200683</v>
      </c>
      <c r="DT9" s="59">
        <f ca="1">AVERAGE(OFFSET($DS$3,0,0,'Données projet'!$E$14+1,1))-AVERAGE(OFFSET($H$3,0,0,'Données projet'!$E$14+1,1))</f>
        <v>249.22792522076639</v>
      </c>
      <c r="DU9" s="59">
        <f t="shared" si="44"/>
        <v>244.53725944480669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4.5999999999999996</v>
      </c>
      <c r="EJ9" s="12">
        <f>IF('Données projet'!$A$192&gt;35,EJ8+EI9-ER8,IF(A9&lt;'Données projet'!$A$192,$EG$205^A9,IF(A9='Données projet'!$A$192,'Données projet'!$B$192,EJ8+EI9-ER8)))</f>
        <v>9.9461430006466571</v>
      </c>
      <c r="EK9" s="17">
        <f>EJ9*VLOOKUP('Données projet'!$B$15,Paramètres!$A$1:$I$89,3,0)*VLOOKUP('Données projet'!$B$15,Paramètres!$A$1:$I$89,5,0)</f>
        <v>5.5598939373614815</v>
      </c>
      <c r="EL9" s="13">
        <f t="shared" si="45"/>
        <v>2.098421997985302</v>
      </c>
      <c r="EM9" s="20">
        <f t="shared" si="19"/>
        <v>13.338233587395647</v>
      </c>
      <c r="EN9" s="59">
        <f t="shared" si="20"/>
        <v>306.67156692072894</v>
      </c>
      <c r="EO9" s="59">
        <f ca="1">AVERAGE(OFFSET($EN$3,0,0,'Données projet'!$E$15+1,1))-AVERAGE(OFFSET($H$3,0,0,'Données projet'!$E$15+1,1))</f>
        <v>313.36787814924116</v>
      </c>
      <c r="EP9" s="59">
        <f t="shared" si="46"/>
        <v>438.72984487610216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1.2</v>
      </c>
      <c r="N10" s="13">
        <f>IF('Données projet'!$A$36&gt;35,N9+M10-V9,IF(A10&lt;'Données projet'!$A$36,$K$205^A10,IF(A10='Données projet'!$A$36,'Données projet'!$B$36,N9+M10-V9)))</f>
        <v>2.5917550374450604</v>
      </c>
      <c r="O10" s="13">
        <f>N10*VLOOKUP('Données projet'!$B$9,Paramètres!$A$1:$I$89,3,0)*VLOOKUP('Données projet'!$B$9,Paramètres!$A$1:$I$89,5,0)</f>
        <v>2.3450199578802908</v>
      </c>
      <c r="P10" s="13">
        <f t="shared" si="33"/>
        <v>0.97861879064669866</v>
      </c>
      <c r="Q10" s="20">
        <f t="shared" si="2"/>
        <v>5.7886708203511725</v>
      </c>
      <c r="R10" s="59">
        <f t="shared" si="0"/>
        <v>299.12200415368449</v>
      </c>
      <c r="S10" s="59">
        <f ca="1">AVERAGE(OFFSET($R$3,0,0,'Données projet'!$E$9+1,1))-AVERAGE(OFFSET($H$3,0,0,'Données projet'!$E$9+1,1))</f>
        <v>173.91998182168385</v>
      </c>
      <c r="T10" s="59">
        <f t="shared" si="34"/>
        <v>72.011647893875363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1.2</v>
      </c>
      <c r="AI10" s="13">
        <f>IF('Données projet'!$A$62&gt;35,AI9+AH10-AQ9,IF(A10&lt;'Données projet'!$A$62,$AF$205^A10,IF(A10='Données projet'!$A$62,'Données projet'!$B$62,AI9+AH10-AQ9)))</f>
        <v>2.5917550374450604</v>
      </c>
      <c r="AJ10" s="13">
        <f>AI10*VLOOKUP('Données projet'!$B$10,Paramètres!$A$1:$I$89,3,0)*VLOOKUP('Données projet'!$B$10,Paramètres!$A$1:$I$89,5,0)</f>
        <v>2.7897651223058633</v>
      </c>
      <c r="AK10" s="13">
        <f t="shared" si="35"/>
        <v>1.1409211524498617</v>
      </c>
      <c r="AL10" s="20">
        <f t="shared" si="4"/>
        <v>6.8459452618662198</v>
      </c>
      <c r="AM10" s="59">
        <f t="shared" si="5"/>
        <v>300.17927859519955</v>
      </c>
      <c r="AN10" s="59">
        <f ca="1">AVERAGE(OFFSET($AM$3,0,0,'Données projet'!$E$10+1,1))-AVERAGE(OFFSET($H$3,0,0,'Données projet'!$E$10+1,1))</f>
        <v>150.9416300233616</v>
      </c>
      <c r="AO10" s="59">
        <f t="shared" si="36"/>
        <v>92.286636088269972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1.2</v>
      </c>
      <c r="BD10" s="12">
        <f>IF('Données projet'!$A$88&gt;35,BD9+BC10-BL9,IF(A10&lt;'Données projet'!$A$88,$BA$205^A10,IF(A10='Données projet'!$A$88,'Données projet'!$B$88,BD9+BC10-BL9)))</f>
        <v>2.5917550374450604</v>
      </c>
      <c r="BE10" s="13">
        <f>BD10*VLOOKUP('Données projet'!$B$11,Paramètres!$A$1:$I$89,3,0)*VLOOKUP('Données projet'!$B$11,Paramètres!$A$1:$I$89,5,0)</f>
        <v>2.5067454722168625</v>
      </c>
      <c r="BF10" s="13">
        <f t="shared" si="37"/>
        <v>1.038020360582093</v>
      </c>
      <c r="BG10" s="20">
        <f t="shared" si="7"/>
        <v>6.1738004921248475</v>
      </c>
      <c r="BH10" s="59">
        <f t="shared" si="8"/>
        <v>299.50713382545814</v>
      </c>
      <c r="BI10" s="59">
        <f ca="1">AVERAGE(OFFSET($BH$3,0,0,'Données projet'!$E$11+1,1))-AVERAGE(OFFSET($H$3,0,0,'Données projet'!$E$11+1,1))</f>
        <v>131.02416800340484</v>
      </c>
      <c r="BJ10" s="59">
        <f t="shared" si="38"/>
        <v>79.394119001888555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1.2</v>
      </c>
      <c r="BY10" s="12">
        <f>IF('Données projet'!$A$114&gt;35,BY9+BX10-CG9,IF(A10&lt;'Données projet'!$A$114,$BV$205^A10,IF(A10='Données projet'!$A$114,'Données projet'!$B$114,BY9+BX10-CG9)))</f>
        <v>2.5917550374450604</v>
      </c>
      <c r="BZ10" s="13">
        <f>BY10*VLOOKUP('Données projet'!$B$12,Paramètres!$A$1:$I$89,3,0)*VLOOKUP('Données projet'!$B$12,Paramètres!$A$1:$I$89,5,0)</f>
        <v>2.3450199578802908</v>
      </c>
      <c r="CA10" s="13">
        <f t="shared" si="39"/>
        <v>0.97861879064669866</v>
      </c>
      <c r="CB10" s="20">
        <f t="shared" si="10"/>
        <v>5.7886708203511725</v>
      </c>
      <c r="CC10" s="59">
        <f t="shared" si="11"/>
        <v>299.12200415368449</v>
      </c>
      <c r="CD10" s="59">
        <f ca="1">AVERAGE(OFFSET($CC$3,0,0,'Données projet'!$E$12+1,1))-AVERAGE(OFFSET($H$3,0,0,'Données projet'!$E$12+1,1))</f>
        <v>119.62076457560073</v>
      </c>
      <c r="CE10" s="59">
        <f t="shared" si="40"/>
        <v>72.011647893875363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1.2</v>
      </c>
      <c r="CT10" s="12">
        <f>IF('Données projet'!$A$140&gt;35,CT9+CS10-DB9,IF(A10&lt;'Données projet'!$A$140,$CQ$205^A10,IF(A10='Données projet'!$A$140,'Données projet'!$B$140,CT9+CS10-DB9)))</f>
        <v>2.5917550374450604</v>
      </c>
      <c r="CU10" s="17">
        <f>CT10*VLOOKUP('Données projet'!$B$13,Paramètres!$A$1:$I$89,3,0)*VLOOKUP('Données projet'!$B$13,Paramètres!$A$1:$I$89,5,0)</f>
        <v>2.7897651223058633</v>
      </c>
      <c r="CV10" s="13">
        <f t="shared" si="41"/>
        <v>1.1409211524498617</v>
      </c>
      <c r="CW10" s="20">
        <f t="shared" si="13"/>
        <v>6.8459452618662198</v>
      </c>
      <c r="CX10" s="59">
        <f t="shared" si="14"/>
        <v>300.17927859519955</v>
      </c>
      <c r="CY10" s="59">
        <f ca="1">AVERAGE(OFFSET($CX$3,0,0,'Données projet'!$E$13+1,1))-AVERAGE(OFFSET($H$3,0,0,'Données projet'!$E$13+1,1))</f>
        <v>150.9416300233616</v>
      </c>
      <c r="CZ10" s="59">
        <f t="shared" si="42"/>
        <v>92.286636088269972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3.8</v>
      </c>
      <c r="DO10" s="12">
        <f>IF('Données projet'!$A$166&gt;35,DO9+DN10-DW9,IF(A10&lt;'Données projet'!$A$166,$DL$205^A10,IF(A10='Données projet'!$A$166,'Données projet'!$B$166,DO9+DN10-DW9)))</f>
        <v>6.5979385433234325</v>
      </c>
      <c r="DP10" s="17">
        <f>DO10*VLOOKUP('Données projet'!$B$14,Paramètres!$A$1:$I$89,3,0)*VLOOKUP('Données projet'!$B$14,Paramètres!$A$1:$I$89,5,0)</f>
        <v>3.9455672489074129</v>
      </c>
      <c r="DQ10" s="13">
        <f t="shared" si="43"/>
        <v>1.5497954262191154</v>
      </c>
      <c r="DR10" s="20">
        <f t="shared" si="16"/>
        <v>9.5710899925120358</v>
      </c>
      <c r="DS10" s="59">
        <f t="shared" si="17"/>
        <v>302.90442332584536</v>
      </c>
      <c r="DT10" s="59">
        <f ca="1">AVERAGE(OFFSET($DS$3,0,0,'Données projet'!$E$14+1,1))-AVERAGE(OFFSET($H$3,0,0,'Données projet'!$E$14+1,1))</f>
        <v>249.22792522076639</v>
      </c>
      <c r="DU10" s="59">
        <f t="shared" si="44"/>
        <v>244.53725944480669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4.5999999999999996</v>
      </c>
      <c r="EJ10" s="12">
        <f>IF('Données projet'!$A$192&gt;35,EJ9+EI10-ER9,IF(A10&lt;'Données projet'!$A$192,$EG$205^A10,IF(A10='Données projet'!$A$192,'Données projet'!$B$192,EJ9+EI10-ER9)))</f>
        <v>14.585807655399259</v>
      </c>
      <c r="EK10" s="17">
        <f>EJ10*VLOOKUP('Données projet'!$B$15,Paramètres!$A$1:$I$89,3,0)*VLOOKUP('Données projet'!$B$15,Paramètres!$A$1:$I$89,5,0)</f>
        <v>8.1534664793681859</v>
      </c>
      <c r="EL10" s="13">
        <f t="shared" si="45"/>
        <v>2.9431616259822255</v>
      </c>
      <c r="EM10" s="20">
        <f t="shared" si="19"/>
        <v>19.326627283485298</v>
      </c>
      <c r="EN10" s="59">
        <f t="shared" si="20"/>
        <v>312.65996061681864</v>
      </c>
      <c r="EO10" s="59">
        <f ca="1">AVERAGE(OFFSET($EN$3,0,0,'Données projet'!$E$15+1,1))-AVERAGE(OFFSET($H$3,0,0,'Données projet'!$E$15+1,1))</f>
        <v>313.36787814924116</v>
      </c>
      <c r="EP10" s="59">
        <f t="shared" si="46"/>
        <v>438.72984487610216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1.2</v>
      </c>
      <c r="N11" s="13">
        <f>IF('Données projet'!$A$36&gt;35,N10+M11-V10,IF(A11&lt;'Données projet'!$A$36,$K$205^A11,IF(A11='Données projet'!$A$36,'Données projet'!$B$36,N10+M11-V10)))</f>
        <v>2.9694690391391689</v>
      </c>
      <c r="O11" s="13">
        <f>N11*VLOOKUP('Données projet'!$B$9,Paramètres!$A$1:$I$89,3,0)*VLOOKUP('Données projet'!$B$9,Paramètres!$A$1:$I$89,5,0)</f>
        <v>2.6867755866131198</v>
      </c>
      <c r="P11" s="13">
        <f t="shared" si="33"/>
        <v>1.1036234607382931</v>
      </c>
      <c r="Q11" s="20">
        <f t="shared" si="2"/>
        <v>6.6016116741370441</v>
      </c>
      <c r="R11" s="59">
        <f t="shared" si="0"/>
        <v>299.93494500747033</v>
      </c>
      <c r="S11" s="59">
        <f ca="1">AVERAGE(OFFSET($R$3,0,0,'Données projet'!$E$9+1,1))-AVERAGE(OFFSET($H$3,0,0,'Données projet'!$E$9+1,1))</f>
        <v>173.91998182168385</v>
      </c>
      <c r="T11" s="59">
        <f t="shared" si="34"/>
        <v>72.011647893875363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1.2</v>
      </c>
      <c r="AI11" s="13">
        <f>IF('Données projet'!$A$62&gt;35,AI10+AH11-AQ10,IF(A11&lt;'Données projet'!$A$62,$AF$205^A11,IF(A11='Données projet'!$A$62,'Données projet'!$B$62,AI10+AH11-AQ10)))</f>
        <v>2.9694690391391689</v>
      </c>
      <c r="AJ11" s="13">
        <f>AI11*VLOOKUP('Données projet'!$B$10,Paramètres!$A$1:$I$89,3,0)*VLOOKUP('Données projet'!$B$10,Paramètres!$A$1:$I$89,5,0)</f>
        <v>3.1963364737294016</v>
      </c>
      <c r="AK11" s="13">
        <f t="shared" si="35"/>
        <v>1.28665764721742</v>
      </c>
      <c r="AL11" s="20">
        <f t="shared" si="4"/>
        <v>7.8078814273157144</v>
      </c>
      <c r="AM11" s="59">
        <f t="shared" si="5"/>
        <v>301.14121476064901</v>
      </c>
      <c r="AN11" s="59">
        <f ca="1">AVERAGE(OFFSET($AM$3,0,0,'Données projet'!$E$10+1,1))-AVERAGE(OFFSET($H$3,0,0,'Données projet'!$E$10+1,1))</f>
        <v>150.9416300233616</v>
      </c>
      <c r="AO11" s="59">
        <f t="shared" si="36"/>
        <v>92.286636088269972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1.2</v>
      </c>
      <c r="BD11" s="12">
        <f>IF('Données projet'!$A$88&gt;35,BD10+BC11-BL10,IF(A11&lt;'Données projet'!$A$88,$BA$205^A11,IF(A11='Données projet'!$A$88,'Données projet'!$B$88,BD10+BC11-BL10)))</f>
        <v>2.9694690391391689</v>
      </c>
      <c r="BE11" s="13">
        <f>BD11*VLOOKUP('Données projet'!$B$11,Paramètres!$A$1:$I$89,3,0)*VLOOKUP('Données projet'!$B$11,Paramètres!$A$1:$I$89,5,0)</f>
        <v>2.8720704546554043</v>
      </c>
      <c r="BF11" s="13">
        <f t="shared" si="37"/>
        <v>1.1706127387002112</v>
      </c>
      <c r="BG11" s="20">
        <f t="shared" si="7"/>
        <v>7.04100656176103</v>
      </c>
      <c r="BH11" s="59">
        <f t="shared" si="8"/>
        <v>300.37433989509435</v>
      </c>
      <c r="BI11" s="59">
        <f ca="1">AVERAGE(OFFSET($BH$3,0,0,'Données projet'!$E$11+1,1))-AVERAGE(OFFSET($H$3,0,0,'Données projet'!$E$11+1,1))</f>
        <v>131.02416800340484</v>
      </c>
      <c r="BJ11" s="59">
        <f t="shared" si="38"/>
        <v>79.394119001888555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1.2</v>
      </c>
      <c r="BY11" s="12">
        <f>IF('Données projet'!$A$114&gt;35,BY10+BX11-CG10,IF(A11&lt;'Données projet'!$A$114,$BV$205^A11,IF(A11='Données projet'!$A$114,'Données projet'!$B$114,BY10+BX11-CG10)))</f>
        <v>2.9694690391391689</v>
      </c>
      <c r="BZ11" s="13">
        <f>BY11*VLOOKUP('Données projet'!$B$12,Paramètres!$A$1:$I$89,3,0)*VLOOKUP('Données projet'!$B$12,Paramètres!$A$1:$I$89,5,0)</f>
        <v>2.6867755866131198</v>
      </c>
      <c r="CA11" s="13">
        <f t="shared" si="39"/>
        <v>1.1036234607382931</v>
      </c>
      <c r="CB11" s="20">
        <f t="shared" si="10"/>
        <v>6.6016116741370441</v>
      </c>
      <c r="CC11" s="59">
        <f t="shared" si="11"/>
        <v>299.93494500747033</v>
      </c>
      <c r="CD11" s="59">
        <f ca="1">AVERAGE(OFFSET($CC$3,0,0,'Données projet'!$E$12+1,1))-AVERAGE(OFFSET($H$3,0,0,'Données projet'!$E$12+1,1))</f>
        <v>119.62076457560073</v>
      </c>
      <c r="CE11" s="59">
        <f t="shared" si="40"/>
        <v>72.011647893875363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1.2</v>
      </c>
      <c r="CT11" s="12">
        <f>IF('Données projet'!$A$140&gt;35,CT10+CS11-DB10,IF(A11&lt;'Données projet'!$A$140,$CQ$205^A11,IF(A11='Données projet'!$A$140,'Données projet'!$B$140,CT10+CS11-DB10)))</f>
        <v>2.9694690391391689</v>
      </c>
      <c r="CU11" s="17">
        <f>CT11*VLOOKUP('Données projet'!$B$13,Paramètres!$A$1:$I$89,3,0)*VLOOKUP('Données projet'!$B$13,Paramètres!$A$1:$I$89,5,0)</f>
        <v>3.1963364737294016</v>
      </c>
      <c r="CV11" s="13">
        <f t="shared" si="41"/>
        <v>1.28665764721742</v>
      </c>
      <c r="CW11" s="20">
        <f t="shared" si="13"/>
        <v>7.8078814273157144</v>
      </c>
      <c r="CX11" s="59">
        <f t="shared" si="14"/>
        <v>301.14121476064901</v>
      </c>
      <c r="CY11" s="59">
        <f ca="1">AVERAGE(OFFSET($CX$3,0,0,'Données projet'!$E$13+1,1))-AVERAGE(OFFSET($H$3,0,0,'Données projet'!$E$13+1,1))</f>
        <v>150.9416300233616</v>
      </c>
      <c r="CZ11" s="59">
        <f t="shared" si="42"/>
        <v>92.286636088269972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3.8</v>
      </c>
      <c r="DO11" s="12">
        <f>IF('Données projet'!$A$166&gt;35,DO10+DN11-DW10,IF(A11&lt;'Données projet'!$A$166,$DL$205^A11,IF(A11='Données projet'!$A$166,'Données projet'!$B$166,DO10+DN11-DW10)))</f>
        <v>8.6390619775747002</v>
      </c>
      <c r="DP11" s="17">
        <f>DO11*VLOOKUP('Données projet'!$B$14,Paramètres!$A$1:$I$89,3,0)*VLOOKUP('Données projet'!$B$14,Paramètres!$A$1:$I$89,5,0)</f>
        <v>5.1661590625896716</v>
      </c>
      <c r="DQ11" s="13">
        <f t="shared" si="43"/>
        <v>1.9665595850602504</v>
      </c>
      <c r="DR11" s="20">
        <f t="shared" si="16"/>
        <v>12.422818311323612</v>
      </c>
      <c r="DS11" s="59">
        <f t="shared" si="17"/>
        <v>305.75615164465694</v>
      </c>
      <c r="DT11" s="59">
        <f ca="1">AVERAGE(OFFSET($DS$3,0,0,'Données projet'!$E$14+1,1))-AVERAGE(OFFSET($H$3,0,0,'Données projet'!$E$14+1,1))</f>
        <v>249.22792522076639</v>
      </c>
      <c r="DU11" s="59">
        <f t="shared" si="44"/>
        <v>244.53725944480669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4.5999999999999996</v>
      </c>
      <c r="EJ11" s="12">
        <f>IF('Données projet'!$A$192&gt;35,EJ10+EI11-ER10,IF(A11&lt;'Données projet'!$A$192,$EG$205^A11,IF(A11='Données projet'!$A$192,'Données projet'!$B$192,EJ10+EI11-ER10)))</f>
        <v>21.389777418892105</v>
      </c>
      <c r="EK11" s="17">
        <f>EJ11*VLOOKUP('Données projet'!$B$15,Paramètres!$A$1:$I$89,3,0)*VLOOKUP('Données projet'!$B$15,Paramètres!$A$1:$I$89,5,0)</f>
        <v>11.956885577160687</v>
      </c>
      <c r="EL11" s="13">
        <f t="shared" si="45"/>
        <v>4.1279591831247142</v>
      </c>
      <c r="EM11" s="20">
        <f t="shared" si="19"/>
        <v>28.014437957497069</v>
      </c>
      <c r="EN11" s="59">
        <f t="shared" si="20"/>
        <v>321.34777129083039</v>
      </c>
      <c r="EO11" s="59">
        <f ca="1">AVERAGE(OFFSET($EN$3,0,0,'Données projet'!$E$15+1,1))-AVERAGE(OFFSET($H$3,0,0,'Données projet'!$E$15+1,1))</f>
        <v>313.36787814924116</v>
      </c>
      <c r="EP11" s="59">
        <f t="shared" si="46"/>
        <v>438.72984487610216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1.2</v>
      </c>
      <c r="N12" s="13">
        <f>IF('Données projet'!$A$36&gt;35,N11+M12-V11,IF(A12&lt;'Données projet'!$A$36,$K$205^A12,IF(A12='Données projet'!$A$36,'Données projet'!$B$36,N11+M12-V11)))</f>
        <v>3.4022298585357786</v>
      </c>
      <c r="O12" s="13">
        <f>N12*VLOOKUP('Données projet'!$B$9,Paramètres!$A$1:$I$89,3,0)*VLOOKUP('Données projet'!$B$9,Paramètres!$A$1:$I$89,5,0)</f>
        <v>3.0783375760031726</v>
      </c>
      <c r="P12" s="13">
        <f t="shared" si="33"/>
        <v>1.2445957044081368</v>
      </c>
      <c r="Q12" s="20">
        <f t="shared" si="2"/>
        <v>7.5291087967163621</v>
      </c>
      <c r="R12" s="59">
        <f t="shared" si="0"/>
        <v>300.86244213004966</v>
      </c>
      <c r="S12" s="59">
        <f ca="1">AVERAGE(OFFSET($R$3,0,0,'Données projet'!$E$9+1,1))-AVERAGE(OFFSET($H$3,0,0,'Données projet'!$E$9+1,1))</f>
        <v>173.91998182168385</v>
      </c>
      <c r="T12" s="59">
        <f t="shared" si="34"/>
        <v>72.011647893875363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1.2</v>
      </c>
      <c r="AI12" s="13">
        <f>IF('Données projet'!$A$62&gt;35,AI11+AH12-AQ11,IF(A12&lt;'Données projet'!$A$62,$AF$205^A12,IF(A12='Données projet'!$A$62,'Données projet'!$B$62,AI11+AH12-AQ11)))</f>
        <v>3.4022298585357786</v>
      </c>
      <c r="AJ12" s="13">
        <f>AI12*VLOOKUP('Données projet'!$B$10,Paramètres!$A$1:$I$89,3,0)*VLOOKUP('Données projet'!$B$10,Paramètres!$A$1:$I$89,5,0)</f>
        <v>3.6621602197279119</v>
      </c>
      <c r="AK12" s="13">
        <f t="shared" si="35"/>
        <v>1.4510099121120625</v>
      </c>
      <c r="AL12" s="20">
        <f t="shared" si="4"/>
        <v>8.9054379796212881</v>
      </c>
      <c r="AM12" s="59">
        <f t="shared" si="5"/>
        <v>302.23877131295461</v>
      </c>
      <c r="AN12" s="59">
        <f ca="1">AVERAGE(OFFSET($AM$3,0,0,'Données projet'!$E$10+1,1))-AVERAGE(OFFSET($H$3,0,0,'Données projet'!$E$10+1,1))</f>
        <v>150.9416300233616</v>
      </c>
      <c r="AO12" s="59">
        <f t="shared" si="36"/>
        <v>92.286636088269972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1.2</v>
      </c>
      <c r="BD12" s="12">
        <f>IF('Données projet'!$A$88&gt;35,BD11+BC12-BL11,IF(A12&lt;'Données projet'!$A$88,$BA$205^A12,IF(A12='Données projet'!$A$88,'Données projet'!$B$88,BD11+BC12-BL11)))</f>
        <v>3.4022298585357786</v>
      </c>
      <c r="BE12" s="13">
        <f>BD12*VLOOKUP('Données projet'!$B$11,Paramètres!$A$1:$I$89,3,0)*VLOOKUP('Données projet'!$B$11,Paramètres!$A$1:$I$89,5,0)</f>
        <v>3.2906367191758048</v>
      </c>
      <c r="BF12" s="13">
        <f t="shared" si="37"/>
        <v>1.3201419124753617</v>
      </c>
      <c r="BG12" s="20">
        <f t="shared" si="7"/>
        <v>8.0304394501257814</v>
      </c>
      <c r="BH12" s="59">
        <f t="shared" si="8"/>
        <v>301.36377278345907</v>
      </c>
      <c r="BI12" s="59">
        <f ca="1">AVERAGE(OFFSET($BH$3,0,0,'Données projet'!$E$11+1,1))-AVERAGE(OFFSET($H$3,0,0,'Données projet'!$E$11+1,1))</f>
        <v>131.02416800340484</v>
      </c>
      <c r="BJ12" s="59">
        <f t="shared" si="38"/>
        <v>79.394119001888555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1.2</v>
      </c>
      <c r="BY12" s="12">
        <f>IF('Données projet'!$A$114&gt;35,BY11+BX12-CG11,IF(A12&lt;'Données projet'!$A$114,$BV$205^A12,IF(A12='Données projet'!$A$114,'Données projet'!$B$114,BY11+BX12-CG11)))</f>
        <v>3.4022298585357786</v>
      </c>
      <c r="BZ12" s="13">
        <f>BY12*VLOOKUP('Données projet'!$B$12,Paramètres!$A$1:$I$89,3,0)*VLOOKUP('Données projet'!$B$12,Paramètres!$A$1:$I$89,5,0)</f>
        <v>3.0783375760031726</v>
      </c>
      <c r="CA12" s="13">
        <f t="shared" si="39"/>
        <v>1.2445957044081368</v>
      </c>
      <c r="CB12" s="20">
        <f t="shared" si="10"/>
        <v>7.5291087967163621</v>
      </c>
      <c r="CC12" s="59">
        <f t="shared" si="11"/>
        <v>300.86244213004966</v>
      </c>
      <c r="CD12" s="59">
        <f ca="1">AVERAGE(OFFSET($CC$3,0,0,'Données projet'!$E$12+1,1))-AVERAGE(OFFSET($H$3,0,0,'Données projet'!$E$12+1,1))</f>
        <v>119.62076457560073</v>
      </c>
      <c r="CE12" s="59">
        <f t="shared" si="40"/>
        <v>72.011647893875363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1.2</v>
      </c>
      <c r="CT12" s="12">
        <f>IF('Données projet'!$A$140&gt;35,CT11+CS12-DB11,IF(A12&lt;'Données projet'!$A$140,$CQ$205^A12,IF(A12='Données projet'!$A$140,'Données projet'!$B$140,CT11+CS12-DB11)))</f>
        <v>3.4022298585357786</v>
      </c>
      <c r="CU12" s="17">
        <f>CT12*VLOOKUP('Données projet'!$B$13,Paramètres!$A$1:$I$89,3,0)*VLOOKUP('Données projet'!$B$13,Paramètres!$A$1:$I$89,5,0)</f>
        <v>3.6621602197279119</v>
      </c>
      <c r="CV12" s="13">
        <f t="shared" si="41"/>
        <v>1.4510099121120625</v>
      </c>
      <c r="CW12" s="20">
        <f t="shared" si="13"/>
        <v>8.9054379796212881</v>
      </c>
      <c r="CX12" s="59">
        <f t="shared" si="14"/>
        <v>302.23877131295461</v>
      </c>
      <c r="CY12" s="59">
        <f ca="1">AVERAGE(OFFSET($CX$3,0,0,'Données projet'!$E$13+1,1))-AVERAGE(OFFSET($H$3,0,0,'Données projet'!$E$13+1,1))</f>
        <v>150.9416300233616</v>
      </c>
      <c r="CZ12" s="59">
        <f t="shared" si="42"/>
        <v>92.286636088269972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3.8</v>
      </c>
      <c r="DO12" s="12">
        <f>IF('Données projet'!$A$166&gt;35,DO11+DN12-DW11,IF(A12&lt;'Données projet'!$A$166,$DL$205^A12,IF(A12='Données projet'!$A$166,'Données projet'!$B$166,DO11+DN12-DW11)))</f>
        <v>11.311622768584241</v>
      </c>
      <c r="DP12" s="17">
        <f>DO12*VLOOKUP('Données projet'!$B$14,Paramètres!$A$1:$I$89,3,0)*VLOOKUP('Données projet'!$B$14,Paramètres!$A$1:$I$89,5,0)</f>
        <v>6.7643504156133769</v>
      </c>
      <c r="DQ12" s="13">
        <f t="shared" si="43"/>
        <v>2.4953981255623883</v>
      </c>
      <c r="DR12" s="20">
        <f t="shared" si="16"/>
        <v>16.127395375881125</v>
      </c>
      <c r="DS12" s="59">
        <f t="shared" si="17"/>
        <v>309.46072870921444</v>
      </c>
      <c r="DT12" s="59">
        <f ca="1">AVERAGE(OFFSET($DS$3,0,0,'Données projet'!$E$14+1,1))-AVERAGE(OFFSET($H$3,0,0,'Données projet'!$E$14+1,1))</f>
        <v>249.22792522076639</v>
      </c>
      <c r="DU12" s="59">
        <f t="shared" si="44"/>
        <v>244.53725944480669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4.5999999999999996</v>
      </c>
      <c r="EJ12" s="12">
        <f>IF('Données projet'!$A$192&gt;35,EJ11+EI12-ER11,IF(A12&lt;'Données projet'!$A$192,$EG$205^A12,IF(A12='Données projet'!$A$192,'Données projet'!$B$192,EJ11+EI12-ER11)))</f>
        <v>31.367654698256253</v>
      </c>
      <c r="EK12" s="17">
        <f>EJ12*VLOOKUP('Données projet'!$B$15,Paramètres!$A$1:$I$89,3,0)*VLOOKUP('Données projet'!$B$15,Paramètres!$A$1:$I$89,5,0)</f>
        <v>17.534518976325245</v>
      </c>
      <c r="EL12" s="13">
        <f t="shared" si="45"/>
        <v>5.7897082060034206</v>
      </c>
      <c r="EM12" s="20">
        <f t="shared" si="19"/>
        <v>40.623029009222428</v>
      </c>
      <c r="EN12" s="59">
        <f t="shared" si="20"/>
        <v>333.95636234255574</v>
      </c>
      <c r="EO12" s="59">
        <f ca="1">AVERAGE(OFFSET($EN$3,0,0,'Données projet'!$E$15+1,1))-AVERAGE(OFFSET($H$3,0,0,'Données projet'!$E$15+1,1))</f>
        <v>313.36787814924116</v>
      </c>
      <c r="EP12" s="59">
        <f t="shared" si="46"/>
        <v>438.72984487610216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1.2</v>
      </c>
      <c r="N13" s="13">
        <f>IF('Données projet'!$A$36&gt;35,N12+M13-V12,IF(A13&lt;'Données projet'!$A$36,$K$205^A13,IF(A13='Données projet'!$A$36,'Données projet'!$B$36,N12+M13-V12)))</f>
        <v>3.8980598409161908</v>
      </c>
      <c r="O13" s="13">
        <f>N13*VLOOKUP('Données projet'!$B$9,Paramètres!$A$1:$I$89,3,0)*VLOOKUP('Données projet'!$B$9,Paramètres!$A$1:$I$89,5,0)</f>
        <v>3.5269645440609696</v>
      </c>
      <c r="P13" s="13">
        <f t="shared" si="33"/>
        <v>1.403575152701934</v>
      </c>
      <c r="Q13" s="20">
        <f t="shared" si="2"/>
        <v>8.587356638528723</v>
      </c>
      <c r="R13" s="59">
        <f t="shared" si="0"/>
        <v>301.92068997186203</v>
      </c>
      <c r="S13" s="59">
        <f ca="1">AVERAGE(OFFSET($R$3,0,0,'Données projet'!$E$9+1,1))-AVERAGE(OFFSET($H$3,0,0,'Données projet'!$E$9+1,1))</f>
        <v>173.91998182168385</v>
      </c>
      <c r="T13" s="59">
        <f t="shared" si="34"/>
        <v>72.011647893875363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1.2</v>
      </c>
      <c r="AI13" s="13">
        <f>IF('Données projet'!$A$62&gt;35,AI12+AH13-AQ12,IF(A13&lt;'Données projet'!$A$62,$AF$205^A13,IF(A13='Données projet'!$A$62,'Données projet'!$B$62,AI12+AH13-AQ12)))</f>
        <v>3.8980598409161908</v>
      </c>
      <c r="AJ13" s="13">
        <f>AI13*VLOOKUP('Données projet'!$B$10,Paramètres!$A$1:$I$89,3,0)*VLOOKUP('Données projet'!$B$10,Paramètres!$A$1:$I$89,5,0)</f>
        <v>4.1958716127621871</v>
      </c>
      <c r="AK13" s="13">
        <f t="shared" si="35"/>
        <v>1.63635584772744</v>
      </c>
      <c r="AL13" s="20">
        <f t="shared" si="4"/>
        <v>10.157796160352767</v>
      </c>
      <c r="AM13" s="59">
        <f t="shared" si="5"/>
        <v>303.49112949368606</v>
      </c>
      <c r="AN13" s="59">
        <f ca="1">AVERAGE(OFFSET($AM$3,0,0,'Données projet'!$E$10+1,1))-AVERAGE(OFFSET($H$3,0,0,'Données projet'!$E$10+1,1))</f>
        <v>150.9416300233616</v>
      </c>
      <c r="AO13" s="59">
        <f t="shared" si="36"/>
        <v>92.286636088269972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1.2</v>
      </c>
      <c r="BD13" s="12">
        <f>IF('Données projet'!$A$88&gt;35,BD12+BC13-BL12,IF(A13&lt;'Données projet'!$A$88,$BA$205^A13,IF(A13='Données projet'!$A$88,'Données projet'!$B$88,BD12+BC13-BL12)))</f>
        <v>3.8980598409161908</v>
      </c>
      <c r="BE13" s="13">
        <f>BD13*VLOOKUP('Données projet'!$B$11,Paramètres!$A$1:$I$89,3,0)*VLOOKUP('Données projet'!$B$11,Paramètres!$A$1:$I$89,5,0)</f>
        <v>3.7702034781341398</v>
      </c>
      <c r="BF13" s="13">
        <f t="shared" si="37"/>
        <v>1.4887713173266797</v>
      </c>
      <c r="BG13" s="20">
        <f t="shared" si="7"/>
        <v>9.1593811020942599</v>
      </c>
      <c r="BH13" s="59">
        <f t="shared" si="8"/>
        <v>302.49271443542756</v>
      </c>
      <c r="BI13" s="59">
        <f ca="1">AVERAGE(OFFSET($BH$3,0,0,'Données projet'!$E$11+1,1))-AVERAGE(OFFSET($H$3,0,0,'Données projet'!$E$11+1,1))</f>
        <v>131.02416800340484</v>
      </c>
      <c r="BJ13" s="59">
        <f t="shared" si="38"/>
        <v>79.394119001888555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1.2</v>
      </c>
      <c r="BY13" s="12">
        <f>IF('Données projet'!$A$114&gt;35,BY12+BX13-CG12,IF(A13&lt;'Données projet'!$A$114,$BV$205^A13,IF(A13='Données projet'!$A$114,'Données projet'!$B$114,BY12+BX13-CG12)))</f>
        <v>3.8980598409161908</v>
      </c>
      <c r="BZ13" s="13">
        <f>BY13*VLOOKUP('Données projet'!$B$12,Paramètres!$A$1:$I$89,3,0)*VLOOKUP('Données projet'!$B$12,Paramètres!$A$1:$I$89,5,0)</f>
        <v>3.5269645440609696</v>
      </c>
      <c r="CA13" s="13">
        <f t="shared" si="39"/>
        <v>1.403575152701934</v>
      </c>
      <c r="CB13" s="20">
        <f t="shared" si="10"/>
        <v>8.587356638528723</v>
      </c>
      <c r="CC13" s="59">
        <f t="shared" si="11"/>
        <v>301.92068997186203</v>
      </c>
      <c r="CD13" s="59">
        <f ca="1">AVERAGE(OFFSET($CC$3,0,0,'Données projet'!$E$12+1,1))-AVERAGE(OFFSET($H$3,0,0,'Données projet'!$E$12+1,1))</f>
        <v>119.62076457560073</v>
      </c>
      <c r="CE13" s="59">
        <f t="shared" si="40"/>
        <v>72.011647893875363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1.2</v>
      </c>
      <c r="CT13" s="12">
        <f>IF('Données projet'!$A$140&gt;35,CT12+CS13-DB12,IF(A13&lt;'Données projet'!$A$140,$CQ$205^A13,IF(A13='Données projet'!$A$140,'Données projet'!$B$140,CT12+CS13-DB12)))</f>
        <v>3.8980598409161908</v>
      </c>
      <c r="CU13" s="17">
        <f>CT13*VLOOKUP('Données projet'!$B$13,Paramètres!$A$1:$I$89,3,0)*VLOOKUP('Données projet'!$B$13,Paramètres!$A$1:$I$89,5,0)</f>
        <v>4.1958716127621871</v>
      </c>
      <c r="CV13" s="13">
        <f t="shared" si="41"/>
        <v>1.63635584772744</v>
      </c>
      <c r="CW13" s="20">
        <f t="shared" si="13"/>
        <v>10.157796160352767</v>
      </c>
      <c r="CX13" s="59">
        <f t="shared" si="14"/>
        <v>303.49112949368606</v>
      </c>
      <c r="CY13" s="59">
        <f ca="1">AVERAGE(OFFSET($CX$3,0,0,'Données projet'!$E$13+1,1))-AVERAGE(OFFSET($H$3,0,0,'Données projet'!$E$13+1,1))</f>
        <v>150.9416300233616</v>
      </c>
      <c r="CZ13" s="59">
        <f t="shared" si="42"/>
        <v>92.286636088269972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3.8</v>
      </c>
      <c r="DO13" s="12">
        <f>IF('Données projet'!$A$166&gt;35,DO12+DN13-DW12,IF(A13&lt;'Données projet'!$A$166,$DL$205^A13,IF(A13='Données projet'!$A$166,'Données projet'!$B$166,DO12+DN13-DW12)))</f>
        <v>14.81096095743886</v>
      </c>
      <c r="DP13" s="17">
        <f>DO13*VLOOKUP('Données projet'!$B$14,Paramètres!$A$1:$I$89,3,0)*VLOOKUP('Données projet'!$B$14,Paramètres!$A$1:$I$89,5,0)</f>
        <v>8.8569546525484384</v>
      </c>
      <c r="DQ13" s="13">
        <f t="shared" si="43"/>
        <v>3.1664495967303732</v>
      </c>
      <c r="DR13" s="20">
        <f t="shared" si="16"/>
        <v>20.940762400827264</v>
      </c>
      <c r="DS13" s="59">
        <f t="shared" si="17"/>
        <v>314.2740957341606</v>
      </c>
      <c r="DT13" s="59">
        <f ca="1">AVERAGE(OFFSET($DS$3,0,0,'Données projet'!$E$14+1,1))-AVERAGE(OFFSET($H$3,0,0,'Données projet'!$E$14+1,1))</f>
        <v>249.22792522076639</v>
      </c>
      <c r="DU13" s="59">
        <f t="shared" si="44"/>
        <v>244.53725944480669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>
        <f>VLOOKUP(A13,'Données projet'!$A$191:$I$211,2,0)</f>
        <v>46</v>
      </c>
      <c r="EH13" s="12">
        <f>VLOOKUP(A13,'Données projet'!$A$191:$I$211,9,0)</f>
        <v>4.5999999999999996</v>
      </c>
      <c r="EI13" s="12">
        <f t="array" ref="EI13">INDEX(EH:EH,MIN(IF(ISNUMBER(EH13:EH209),ROW(EH13:EH209),"")))</f>
        <v>4.5999999999999996</v>
      </c>
      <c r="EJ13" s="12">
        <f>IF('Données projet'!$A$192&gt;35,EJ12+EI13-ER12,IF(A13&lt;'Données projet'!$A$192,$EG$205^A13,IF(A13='Données projet'!$A$192,'Données projet'!$B$192,EJ12+EI13-ER12)))</f>
        <v>46</v>
      </c>
      <c r="EK13" s="17">
        <f>EJ13*VLOOKUP('Données projet'!$B$15,Paramètres!$A$1:$I$89,3,0)*VLOOKUP('Données projet'!$B$15,Paramètres!$A$1:$I$89,5,0)</f>
        <v>25.714000000000002</v>
      </c>
      <c r="EL13" s="13">
        <f t="shared" si="45"/>
        <v>8.1204100194831259</v>
      </c>
      <c r="EM13" s="20">
        <f t="shared" si="19"/>
        <v>58.928264117266451</v>
      </c>
      <c r="EN13" s="59">
        <f t="shared" si="20"/>
        <v>352.26159745059977</v>
      </c>
      <c r="EO13" s="59">
        <f ca="1">AVERAGE(OFFSET($EN$3,0,0,'Données projet'!$E$15+1,1))-AVERAGE(OFFSET($H$3,0,0,'Données projet'!$E$15+1,1))</f>
        <v>313.36787814924116</v>
      </c>
      <c r="EP13" s="59">
        <f t="shared" si="46"/>
        <v>438.72984487610216</v>
      </c>
      <c r="EQ13" s="15">
        <f>IF(ISNA(VLOOKUP(A13,'Données projet'!$A$191:$I$211,3,0)),0,VLOOKUP(A13,'Données projet'!$A$191:$I$211,3,0))</f>
        <v>1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0.16500000000000001</v>
      </c>
      <c r="ET13" s="16">
        <f>IF(ISNA(VLOOKUP(A13,'Données projet'!$A$191:$I$211,6,0)),0%,VLOOKUP(A13,'Données projet'!$A$191:$I$211,6,0)*VLOOKUP('Données projet'!$B$15,Paramètres!$A$1:$I$89,7,0))</f>
        <v>0.21450000000000002</v>
      </c>
      <c r="EU13" s="16">
        <f>IF(ISNA(VLOOKUP(A13,'Données projet'!$A$191:$I$211,7,0)),0%,VLOOKUP(A13,'Données projet'!$A$191:$I$211,7,0))</f>
        <v>0.31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1.2</v>
      </c>
      <c r="N14" s="13">
        <f>IF('Données projet'!$A$36&gt;35,N13+M14-V13,IF(A14&lt;'Données projet'!$A$36,$K$205^A14,IF(A14='Données projet'!$A$36,'Données projet'!$B$36,N13+M14-V13)))</f>
        <v>4.4661504822319662</v>
      </c>
      <c r="O14" s="13">
        <f>N14*VLOOKUP('Données projet'!$B$9,Paramètres!$A$1:$I$89,3,0)*VLOOKUP('Données projet'!$B$9,Paramètres!$A$1:$I$89,5,0)</f>
        <v>4.0409729563234826</v>
      </c>
      <c r="P14" s="13">
        <f t="shared" si="33"/>
        <v>1.5828619706020071</v>
      </c>
      <c r="Q14" s="20">
        <f t="shared" si="2"/>
        <v>9.7948458310618953</v>
      </c>
      <c r="R14" s="59">
        <f t="shared" si="0"/>
        <v>303.12817916439519</v>
      </c>
      <c r="S14" s="59">
        <f ca="1">AVERAGE(OFFSET($R$3,0,0,'Données projet'!$E$9+1,1))-AVERAGE(OFFSET($H$3,0,0,'Données projet'!$E$9+1,1))</f>
        <v>173.91998182168385</v>
      </c>
      <c r="T14" s="59">
        <f t="shared" si="34"/>
        <v>72.011647893875363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1.2</v>
      </c>
      <c r="AI14" s="13">
        <f>IF('Données projet'!$A$62&gt;35,AI13+AH14-AQ13,IF(A14&lt;'Données projet'!$A$62,$AF$205^A14,IF(A14='Données projet'!$A$62,'Données projet'!$B$62,AI13+AH14-AQ13)))</f>
        <v>4.4661504822319662</v>
      </c>
      <c r="AJ14" s="13">
        <f>AI14*VLOOKUP('Données projet'!$B$10,Paramètres!$A$1:$I$89,3,0)*VLOOKUP('Données projet'!$B$10,Paramètres!$A$1:$I$89,5,0)</f>
        <v>4.8073643790744889</v>
      </c>
      <c r="AK14" s="13">
        <f t="shared" si="35"/>
        <v>1.8453770977306692</v>
      </c>
      <c r="AL14" s="20">
        <f t="shared" si="4"/>
        <v>11.586858072102316</v>
      </c>
      <c r="AM14" s="59">
        <f t="shared" si="5"/>
        <v>304.92019140543562</v>
      </c>
      <c r="AN14" s="59">
        <f ca="1">AVERAGE(OFFSET($AM$3,0,0,'Données projet'!$E$10+1,1))-AVERAGE(OFFSET($H$3,0,0,'Données projet'!$E$10+1,1))</f>
        <v>150.9416300233616</v>
      </c>
      <c r="AO14" s="59">
        <f t="shared" si="36"/>
        <v>92.286636088269972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1.2</v>
      </c>
      <c r="BD14" s="12">
        <f>IF('Données projet'!$A$88&gt;35,BD13+BC14-BL13,IF(A14&lt;'Données projet'!$A$88,$BA$205^A14,IF(A14='Données projet'!$A$88,'Données projet'!$B$88,BD13+BC14-BL13)))</f>
        <v>4.4661504822319662</v>
      </c>
      <c r="BE14" s="13">
        <f>BD14*VLOOKUP('Données projet'!$B$11,Paramètres!$A$1:$I$89,3,0)*VLOOKUP('Données projet'!$B$11,Paramètres!$A$1:$I$89,5,0)</f>
        <v>4.3196607464147583</v>
      </c>
      <c r="BF14" s="13">
        <f t="shared" si="37"/>
        <v>1.6789407368626241</v>
      </c>
      <c r="BG14" s="20">
        <f t="shared" si="7"/>
        <v>10.44756425004144</v>
      </c>
      <c r="BH14" s="59">
        <f t="shared" si="8"/>
        <v>303.78089758337478</v>
      </c>
      <c r="BI14" s="59">
        <f ca="1">AVERAGE(OFFSET($BH$3,0,0,'Données projet'!$E$11+1,1))-AVERAGE(OFFSET($H$3,0,0,'Données projet'!$E$11+1,1))</f>
        <v>131.02416800340484</v>
      </c>
      <c r="BJ14" s="59">
        <f t="shared" si="38"/>
        <v>79.394119001888555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1.2</v>
      </c>
      <c r="BY14" s="12">
        <f>IF('Données projet'!$A$114&gt;35,BY13+BX14-CG13,IF(A14&lt;'Données projet'!$A$114,$BV$205^A14,IF(A14='Données projet'!$A$114,'Données projet'!$B$114,BY13+BX14-CG13)))</f>
        <v>4.4661504822319662</v>
      </c>
      <c r="BZ14" s="13">
        <f>BY14*VLOOKUP('Données projet'!$B$12,Paramètres!$A$1:$I$89,3,0)*VLOOKUP('Données projet'!$B$12,Paramètres!$A$1:$I$89,5,0)</f>
        <v>4.0409729563234826</v>
      </c>
      <c r="CA14" s="13">
        <f t="shared" si="39"/>
        <v>1.5828619706020071</v>
      </c>
      <c r="CB14" s="20">
        <f t="shared" si="10"/>
        <v>9.7948458310618953</v>
      </c>
      <c r="CC14" s="59">
        <f t="shared" si="11"/>
        <v>303.12817916439519</v>
      </c>
      <c r="CD14" s="59">
        <f ca="1">AVERAGE(OFFSET($CC$3,0,0,'Données projet'!$E$12+1,1))-AVERAGE(OFFSET($H$3,0,0,'Données projet'!$E$12+1,1))</f>
        <v>119.62076457560073</v>
      </c>
      <c r="CE14" s="59">
        <f t="shared" si="40"/>
        <v>72.011647893875363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1.2</v>
      </c>
      <c r="CT14" s="12">
        <f>IF('Données projet'!$A$140&gt;35,CT13+CS14-DB13,IF(A14&lt;'Données projet'!$A$140,$CQ$205^A14,IF(A14='Données projet'!$A$140,'Données projet'!$B$140,CT13+CS14-DB13)))</f>
        <v>4.4661504822319662</v>
      </c>
      <c r="CU14" s="17">
        <f>CT14*VLOOKUP('Données projet'!$B$13,Paramètres!$A$1:$I$89,3,0)*VLOOKUP('Données projet'!$B$13,Paramètres!$A$1:$I$89,5,0)</f>
        <v>4.8073643790744889</v>
      </c>
      <c r="CV14" s="13">
        <f t="shared" si="41"/>
        <v>1.8453770977306692</v>
      </c>
      <c r="CW14" s="20">
        <f t="shared" si="13"/>
        <v>11.586858072102316</v>
      </c>
      <c r="CX14" s="59">
        <f t="shared" si="14"/>
        <v>304.92019140543562</v>
      </c>
      <c r="CY14" s="59">
        <f ca="1">AVERAGE(OFFSET($CX$3,0,0,'Données projet'!$E$13+1,1))-AVERAGE(OFFSET($H$3,0,0,'Données projet'!$E$13+1,1))</f>
        <v>150.9416300233616</v>
      </c>
      <c r="CZ14" s="59">
        <f t="shared" si="42"/>
        <v>92.286636088269972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3.8</v>
      </c>
      <c r="DO14" s="12">
        <f>IF('Données projet'!$A$166&gt;35,DO13+DN14-DW13,IF(A14&lt;'Données projet'!$A$166,$DL$205^A14,IF(A14='Données projet'!$A$166,'Données projet'!$B$166,DO13+DN14-DW13)))</f>
        <v>19.392846541171725</v>
      </c>
      <c r="DP14" s="17">
        <f>DO14*VLOOKUP('Données projet'!$B$14,Paramètres!$A$1:$I$89,3,0)*VLOOKUP('Données projet'!$B$14,Paramètres!$A$1:$I$89,5,0)</f>
        <v>11.596922231620692</v>
      </c>
      <c r="DQ14" s="13">
        <f t="shared" si="43"/>
        <v>4.0179572734007305</v>
      </c>
      <c r="DR14" s="20">
        <f t="shared" si="16"/>
        <v>27.195915137912309</v>
      </c>
      <c r="DS14" s="59">
        <f t="shared" si="17"/>
        <v>320.52924847124564</v>
      </c>
      <c r="DT14" s="59">
        <f ca="1">AVERAGE(OFFSET($DS$3,0,0,'Données projet'!$E$14+1,1))-AVERAGE(OFFSET($H$3,0,0,'Données projet'!$E$14+1,1))</f>
        <v>249.22792522076639</v>
      </c>
      <c r="DU14" s="59">
        <f t="shared" si="44"/>
        <v>244.53725944480669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21.4</v>
      </c>
      <c r="EJ14" s="12">
        <f>IF('Données projet'!$A$192&gt;35,EJ13+EI14-ER13,IF(A14&lt;'Données projet'!$A$192,$EG$205^A14,IF(A14='Données projet'!$A$192,'Données projet'!$B$192,EJ13+EI14-ER13)))</f>
        <v>67.400000000000006</v>
      </c>
      <c r="EK14" s="17">
        <f>EJ14*VLOOKUP('Données projet'!$B$15,Paramètres!$A$1:$I$89,3,0)*VLOOKUP('Données projet'!$B$15,Paramètres!$A$1:$I$89,5,0)</f>
        <v>37.676600000000008</v>
      </c>
      <c r="EL14" s="13">
        <f t="shared" si="45"/>
        <v>11.380701247026849</v>
      </c>
      <c r="EM14" s="20">
        <f t="shared" si="19"/>
        <v>85.441466338571772</v>
      </c>
      <c r="EN14" s="59">
        <f t="shared" si="20"/>
        <v>378.7747996719051</v>
      </c>
      <c r="EO14" s="59">
        <f ca="1">AVERAGE(OFFSET($EN$3,0,0,'Données projet'!$E$15+1,1))-AVERAGE(OFFSET($H$3,0,0,'Données projet'!$E$15+1,1))</f>
        <v>313.36787814924116</v>
      </c>
      <c r="EP14" s="59">
        <f t="shared" si="46"/>
        <v>438.72984487610216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1.2</v>
      </c>
      <c r="N15" s="13">
        <f>IF('Données projet'!$A$36&gt;35,N14+M15-V14,IF(A15&lt;'Données projet'!$A$36,$K$205^A15,IF(A15='Données projet'!$A$36,'Données projet'!$B$36,N14+M15-V14)))</f>
        <v>5.1170328173444979</v>
      </c>
      <c r="O15" s="13">
        <f>N15*VLOOKUP('Données projet'!$B$9,Paramètres!$A$1:$I$89,3,0)*VLOOKUP('Données projet'!$B$9,Paramètres!$A$1:$I$89,5,0)</f>
        <v>4.6298912931333014</v>
      </c>
      <c r="P15" s="13">
        <f t="shared" si="33"/>
        <v>1.7850501365423737</v>
      </c>
      <c r="Q15" s="20">
        <f t="shared" si="2"/>
        <v>11.172689656685135</v>
      </c>
      <c r="R15" s="59">
        <f t="shared" si="0"/>
        <v>304.50602299001844</v>
      </c>
      <c r="S15" s="59">
        <f ca="1">AVERAGE(OFFSET($R$3,0,0,'Données projet'!$E$9+1,1))-AVERAGE(OFFSET($H$3,0,0,'Données projet'!$E$9+1,1))</f>
        <v>173.91998182168385</v>
      </c>
      <c r="T15" s="59">
        <f t="shared" si="34"/>
        <v>72.011647893875363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1.2</v>
      </c>
      <c r="AI15" s="13">
        <f>IF('Données projet'!$A$62&gt;35,AI14+AH15-AQ14,IF(A15&lt;'Données projet'!$A$62,$AF$205^A15,IF(A15='Données projet'!$A$62,'Données projet'!$B$62,AI14+AH15-AQ14)))</f>
        <v>5.1170328173444979</v>
      </c>
      <c r="AJ15" s="13">
        <f>AI15*VLOOKUP('Données projet'!$B$10,Paramètres!$A$1:$I$89,3,0)*VLOOKUP('Données projet'!$B$10,Paramètres!$A$1:$I$89,5,0)</f>
        <v>5.5079741245896177</v>
      </c>
      <c r="AK15" s="13">
        <f t="shared" si="35"/>
        <v>2.0810978477317659</v>
      </c>
      <c r="AL15" s="20">
        <f t="shared" si="4"/>
        <v>13.217633685126408</v>
      </c>
      <c r="AM15" s="59">
        <f t="shared" si="5"/>
        <v>306.55096701845974</v>
      </c>
      <c r="AN15" s="59">
        <f ca="1">AVERAGE(OFFSET($AM$3,0,0,'Données projet'!$E$10+1,1))-AVERAGE(OFFSET($H$3,0,0,'Données projet'!$E$10+1,1))</f>
        <v>150.9416300233616</v>
      </c>
      <c r="AO15" s="59">
        <f t="shared" si="36"/>
        <v>92.286636088269972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1.2</v>
      </c>
      <c r="BD15" s="12">
        <f>IF('Données projet'!$A$88&gt;35,BD14+BC15-BL14,IF(A15&lt;'Données projet'!$A$88,$BA$205^A15,IF(A15='Données projet'!$A$88,'Données projet'!$B$88,BD14+BC15-BL14)))</f>
        <v>5.1170328173444979</v>
      </c>
      <c r="BE15" s="13">
        <f>BD15*VLOOKUP('Données projet'!$B$11,Paramètres!$A$1:$I$89,3,0)*VLOOKUP('Données projet'!$B$11,Paramètres!$A$1:$I$89,5,0)</f>
        <v>4.9491941409355986</v>
      </c>
      <c r="BF15" s="13">
        <f t="shared" si="37"/>
        <v>1.8934016024425293</v>
      </c>
      <c r="BG15" s="20">
        <f t="shared" si="7"/>
        <v>11.917520919716907</v>
      </c>
      <c r="BH15" s="59">
        <f t="shared" si="8"/>
        <v>305.25085425305019</v>
      </c>
      <c r="BI15" s="59">
        <f ca="1">AVERAGE(OFFSET($BH$3,0,0,'Données projet'!$E$11+1,1))-AVERAGE(OFFSET($H$3,0,0,'Données projet'!$E$11+1,1))</f>
        <v>131.02416800340484</v>
      </c>
      <c r="BJ15" s="59">
        <f t="shared" si="38"/>
        <v>79.394119001888555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1.2</v>
      </c>
      <c r="BY15" s="12">
        <f>IF('Données projet'!$A$114&gt;35,BY14+BX15-CG14,IF(A15&lt;'Données projet'!$A$114,$BV$205^A15,IF(A15='Données projet'!$A$114,'Données projet'!$B$114,BY14+BX15-CG14)))</f>
        <v>5.1170328173444979</v>
      </c>
      <c r="BZ15" s="13">
        <f>BY15*VLOOKUP('Données projet'!$B$12,Paramètres!$A$1:$I$89,3,0)*VLOOKUP('Données projet'!$B$12,Paramètres!$A$1:$I$89,5,0)</f>
        <v>4.6298912931333014</v>
      </c>
      <c r="CA15" s="13">
        <f t="shared" si="39"/>
        <v>1.7850501365423737</v>
      </c>
      <c r="CB15" s="20">
        <f t="shared" si="10"/>
        <v>11.172689656685135</v>
      </c>
      <c r="CC15" s="59">
        <f t="shared" si="11"/>
        <v>304.50602299001844</v>
      </c>
      <c r="CD15" s="59">
        <f ca="1">AVERAGE(OFFSET($CC$3,0,0,'Données projet'!$E$12+1,1))-AVERAGE(OFFSET($H$3,0,0,'Données projet'!$E$12+1,1))</f>
        <v>119.62076457560073</v>
      </c>
      <c r="CE15" s="59">
        <f t="shared" si="40"/>
        <v>72.011647893875363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1.2</v>
      </c>
      <c r="CT15" s="12">
        <f>IF('Données projet'!$A$140&gt;35,CT14+CS15-DB14,IF(A15&lt;'Données projet'!$A$140,$CQ$205^A15,IF(A15='Données projet'!$A$140,'Données projet'!$B$140,CT14+CS15-DB14)))</f>
        <v>5.1170328173444979</v>
      </c>
      <c r="CU15" s="17">
        <f>CT15*VLOOKUP('Données projet'!$B$13,Paramètres!$A$1:$I$89,3,0)*VLOOKUP('Données projet'!$B$13,Paramètres!$A$1:$I$89,5,0)</f>
        <v>5.5079741245896177</v>
      </c>
      <c r="CV15" s="13">
        <f t="shared" si="41"/>
        <v>2.0810978477317659</v>
      </c>
      <c r="CW15" s="20">
        <f t="shared" si="13"/>
        <v>13.217633685126408</v>
      </c>
      <c r="CX15" s="59">
        <f t="shared" si="14"/>
        <v>306.55096701845974</v>
      </c>
      <c r="CY15" s="59">
        <f ca="1">AVERAGE(OFFSET($CX$3,0,0,'Données projet'!$E$13+1,1))-AVERAGE(OFFSET($H$3,0,0,'Données projet'!$E$13+1,1))</f>
        <v>150.9416300233616</v>
      </c>
      <c r="CZ15" s="59">
        <f t="shared" si="42"/>
        <v>92.286636088269972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3.8</v>
      </c>
      <c r="DO15" s="12">
        <f>IF('Données projet'!$A$166&gt;35,DO14+DN15-DW14,IF(A15&lt;'Données projet'!$A$166,$DL$205^A15,IF(A15='Données projet'!$A$166,'Données projet'!$B$166,DO14+DN15-DW14)))</f>
        <v>25.392173948075076</v>
      </c>
      <c r="DP15" s="17">
        <f>DO15*VLOOKUP('Données projet'!$B$14,Paramètres!$A$1:$I$89,3,0)*VLOOKUP('Données projet'!$B$14,Paramètres!$A$1:$I$89,5,0)</f>
        <v>15.184520020948897</v>
      </c>
      <c r="DQ15" s="13">
        <f t="shared" si="43"/>
        <v>5.0984486434092791</v>
      </c>
      <c r="DR15" s="20">
        <f t="shared" si="16"/>
        <v>35.326170423757155</v>
      </c>
      <c r="DS15" s="59">
        <f t="shared" si="17"/>
        <v>328.65950375709048</v>
      </c>
      <c r="DT15" s="59">
        <f ca="1">AVERAGE(OFFSET($DS$3,0,0,'Données projet'!$E$14+1,1))-AVERAGE(OFFSET($H$3,0,0,'Données projet'!$E$14+1,1))</f>
        <v>249.22792522076639</v>
      </c>
      <c r="DU15" s="59">
        <f t="shared" si="44"/>
        <v>244.53725944480669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21.4</v>
      </c>
      <c r="EJ15" s="12">
        <f>IF('Données projet'!$A$192&gt;35,EJ14+EI15-ER14,IF(A15&lt;'Données projet'!$A$192,$EG$205^A15,IF(A15='Données projet'!$A$192,'Données projet'!$B$192,EJ14+EI15-ER14)))</f>
        <v>88.800000000000011</v>
      </c>
      <c r="EK15" s="17">
        <f>EJ15*VLOOKUP('Données projet'!$B$15,Paramètres!$A$1:$I$89,3,0)*VLOOKUP('Données projet'!$B$15,Paramètres!$A$1:$I$89,5,0)</f>
        <v>49.63920000000001</v>
      </c>
      <c r="EL15" s="13">
        <f t="shared" si="45"/>
        <v>14.520542252452639</v>
      </c>
      <c r="EM15" s="20">
        <f t="shared" si="19"/>
        <v>111.74488442302169</v>
      </c>
      <c r="EN15" s="59">
        <f t="shared" si="20"/>
        <v>405.078217756355</v>
      </c>
      <c r="EO15" s="59">
        <f ca="1">AVERAGE(OFFSET($EN$3,0,0,'Données projet'!$E$15+1,1))-AVERAGE(OFFSET($H$3,0,0,'Données projet'!$E$15+1,1))</f>
        <v>313.36787814924116</v>
      </c>
      <c r="EP15" s="59">
        <f t="shared" si="46"/>
        <v>438.72984487610216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1.2</v>
      </c>
      <c r="N16" s="13">
        <f>IF('Données projet'!$A$36&gt;35,N15+M16-V15,IF(A16&lt;'Données projet'!$A$36,$K$205^A16,IF(A16='Données projet'!$A$36,'Données projet'!$B$36,N15+M16-V15)))</f>
        <v>5.8627726400958746</v>
      </c>
      <c r="O16" s="13">
        <f>N16*VLOOKUP('Données projet'!$B$9,Paramètres!$A$1:$I$89,3,0)*VLOOKUP('Données projet'!$B$9,Paramètres!$A$1:$I$89,5,0)</f>
        <v>5.3046366847587469</v>
      </c>
      <c r="P16" s="13">
        <f t="shared" si="33"/>
        <v>2.0130649729098407</v>
      </c>
      <c r="Q16" s="20">
        <f t="shared" si="2"/>
        <v>12.74499705377279</v>
      </c>
      <c r="R16" s="59">
        <f t="shared" si="0"/>
        <v>306.07833038710612</v>
      </c>
      <c r="S16" s="59">
        <f ca="1">AVERAGE(OFFSET($R$3,0,0,'Données projet'!$E$9+1,1))-AVERAGE(OFFSET($H$3,0,0,'Données projet'!$E$9+1,1))</f>
        <v>173.91998182168385</v>
      </c>
      <c r="T16" s="59">
        <f t="shared" si="34"/>
        <v>72.011647893875363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1.2</v>
      </c>
      <c r="AI16" s="13">
        <f>IF('Données projet'!$A$62&gt;35,AI15+AH16-AQ15,IF(A16&lt;'Données projet'!$A$62,$AF$205^A16,IF(A16='Données projet'!$A$62,'Données projet'!$B$62,AI15+AH16-AQ15)))</f>
        <v>5.8627726400958746</v>
      </c>
      <c r="AJ16" s="13">
        <f>AI16*VLOOKUP('Données projet'!$B$10,Paramètres!$A$1:$I$89,3,0)*VLOOKUP('Données projet'!$B$10,Paramètres!$A$1:$I$89,5,0)</f>
        <v>6.3106884697991985</v>
      </c>
      <c r="AK16" s="13">
        <f t="shared" si="35"/>
        <v>2.346928580158357</v>
      </c>
      <c r="AL16" s="20">
        <f t="shared" si="4"/>
        <v>15.078683028676075</v>
      </c>
      <c r="AM16" s="59">
        <f t="shared" si="5"/>
        <v>308.41201636200941</v>
      </c>
      <c r="AN16" s="59">
        <f ca="1">AVERAGE(OFFSET($AM$3,0,0,'Données projet'!$E$10+1,1))-AVERAGE(OFFSET($H$3,0,0,'Données projet'!$E$10+1,1))</f>
        <v>150.9416300233616</v>
      </c>
      <c r="AO16" s="59">
        <f t="shared" si="36"/>
        <v>92.286636088269972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1.2</v>
      </c>
      <c r="BD16" s="12">
        <f>IF('Données projet'!$A$88&gt;35,BD15+BC16-BL15,IF(A16&lt;'Données projet'!$A$88,$BA$205^A16,IF(A16='Données projet'!$A$88,'Données projet'!$B$88,BD15+BC16-BL15)))</f>
        <v>5.8627726400958746</v>
      </c>
      <c r="BE16" s="13">
        <f>BD16*VLOOKUP('Données projet'!$B$11,Paramètres!$A$1:$I$89,3,0)*VLOOKUP('Données projet'!$B$11,Paramètres!$A$1:$I$89,5,0)</f>
        <v>5.6704736975007304</v>
      </c>
      <c r="BF16" s="13">
        <f t="shared" si="37"/>
        <v>2.1352568017564701</v>
      </c>
      <c r="BG16" s="20">
        <f t="shared" si="7"/>
        <v>13.594980619539625</v>
      </c>
      <c r="BH16" s="59">
        <f t="shared" si="8"/>
        <v>306.92831395287294</v>
      </c>
      <c r="BI16" s="59">
        <f ca="1">AVERAGE(OFFSET($BH$3,0,0,'Données projet'!$E$11+1,1))-AVERAGE(OFFSET($H$3,0,0,'Données projet'!$E$11+1,1))</f>
        <v>131.02416800340484</v>
      </c>
      <c r="BJ16" s="59">
        <f t="shared" si="38"/>
        <v>79.394119001888555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1.2</v>
      </c>
      <c r="BY16" s="12">
        <f>IF('Données projet'!$A$114&gt;35,BY15+BX16-CG15,IF(A16&lt;'Données projet'!$A$114,$BV$205^A16,IF(A16='Données projet'!$A$114,'Données projet'!$B$114,BY15+BX16-CG15)))</f>
        <v>5.8627726400958746</v>
      </c>
      <c r="BZ16" s="13">
        <f>BY16*VLOOKUP('Données projet'!$B$12,Paramètres!$A$1:$I$89,3,0)*VLOOKUP('Données projet'!$B$12,Paramètres!$A$1:$I$89,5,0)</f>
        <v>5.3046366847587469</v>
      </c>
      <c r="CA16" s="13">
        <f t="shared" si="39"/>
        <v>2.0130649729098407</v>
      </c>
      <c r="CB16" s="20">
        <f t="shared" si="10"/>
        <v>12.74499705377279</v>
      </c>
      <c r="CC16" s="59">
        <f t="shared" si="11"/>
        <v>306.07833038710612</v>
      </c>
      <c r="CD16" s="59">
        <f ca="1">AVERAGE(OFFSET($CC$3,0,0,'Données projet'!$E$12+1,1))-AVERAGE(OFFSET($H$3,0,0,'Données projet'!$E$12+1,1))</f>
        <v>119.62076457560073</v>
      </c>
      <c r="CE16" s="59">
        <f t="shared" si="40"/>
        <v>72.011647893875363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1.2</v>
      </c>
      <c r="CT16" s="12">
        <f>IF('Données projet'!$A$140&gt;35,CT15+CS16-DB15,IF(A16&lt;'Données projet'!$A$140,$CQ$205^A16,IF(A16='Données projet'!$A$140,'Données projet'!$B$140,CT15+CS16-DB15)))</f>
        <v>5.8627726400958746</v>
      </c>
      <c r="CU16" s="17">
        <f>CT16*VLOOKUP('Données projet'!$B$13,Paramètres!$A$1:$I$89,3,0)*VLOOKUP('Données projet'!$B$13,Paramètres!$A$1:$I$89,5,0)</f>
        <v>6.3106884697991985</v>
      </c>
      <c r="CV16" s="13">
        <f t="shared" si="41"/>
        <v>2.346928580158357</v>
      </c>
      <c r="CW16" s="20">
        <f t="shared" si="13"/>
        <v>15.078683028676075</v>
      </c>
      <c r="CX16" s="59">
        <f t="shared" si="14"/>
        <v>308.41201636200941</v>
      </c>
      <c r="CY16" s="59">
        <f ca="1">AVERAGE(OFFSET($CX$3,0,0,'Données projet'!$E$13+1,1))-AVERAGE(OFFSET($H$3,0,0,'Données projet'!$E$13+1,1))</f>
        <v>150.9416300233616</v>
      </c>
      <c r="CZ16" s="59">
        <f t="shared" si="42"/>
        <v>92.286636088269972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3.8</v>
      </c>
      <c r="DO16" s="12">
        <f>IF('Données projet'!$A$166&gt;35,DO15+DN16-DW15,IF(A16&lt;'Données projet'!$A$166,$DL$205^A16,IF(A16='Données projet'!$A$166,'Données projet'!$B$166,DO15+DN16-DW15)))</f>
        <v>33.247439793866675</v>
      </c>
      <c r="DP16" s="17">
        <f>DO16*VLOOKUP('Données projet'!$B$14,Paramètres!$A$1:$I$89,3,0)*VLOOKUP('Données projet'!$B$14,Paramètres!$A$1:$I$89,5,0)</f>
        <v>19.881968996732276</v>
      </c>
      <c r="DQ16" s="13">
        <f t="shared" si="43"/>
        <v>6.4695009928467675</v>
      </c>
      <c r="DR16" s="20">
        <f t="shared" si="16"/>
        <v>45.895476898516826</v>
      </c>
      <c r="DS16" s="59">
        <f t="shared" si="17"/>
        <v>339.22881023185016</v>
      </c>
      <c r="DT16" s="59">
        <f ca="1">AVERAGE(OFFSET($DS$3,0,0,'Données projet'!$E$14+1,1))-AVERAGE(OFFSET($H$3,0,0,'Données projet'!$E$14+1,1))</f>
        <v>249.22792522076639</v>
      </c>
      <c r="DU16" s="59">
        <f t="shared" si="44"/>
        <v>244.53725944480669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21.4</v>
      </c>
      <c r="EJ16" s="12">
        <f>IF('Données projet'!$A$192&gt;35,EJ15+EI16-ER15,IF(A16&lt;'Données projet'!$A$192,$EG$205^A16,IF(A16='Données projet'!$A$192,'Données projet'!$B$192,EJ15+EI16-ER15)))</f>
        <v>110.20000000000002</v>
      </c>
      <c r="EK16" s="17">
        <f>EJ16*VLOOKUP('Données projet'!$B$15,Paramètres!$A$1:$I$89,3,0)*VLOOKUP('Données projet'!$B$15,Paramètres!$A$1:$I$89,5,0)</f>
        <v>61.601800000000011</v>
      </c>
      <c r="EL16" s="13">
        <f t="shared" si="45"/>
        <v>17.572631229179574</v>
      </c>
      <c r="EM16" s="20">
        <f t="shared" si="19"/>
        <v>137.89546772415443</v>
      </c>
      <c r="EN16" s="59">
        <f t="shared" si="20"/>
        <v>431.22880105748777</v>
      </c>
      <c r="EO16" s="59">
        <f ca="1">AVERAGE(OFFSET($EN$3,0,0,'Données projet'!$E$15+1,1))-AVERAGE(OFFSET($H$3,0,0,'Données projet'!$E$15+1,1))</f>
        <v>313.36787814924116</v>
      </c>
      <c r="EP16" s="59">
        <f t="shared" si="46"/>
        <v>438.72984487610216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1.2</v>
      </c>
      <c r="N17" s="13">
        <f>IF('Données projet'!$A$36&gt;35,N16+M17-V16,IF(A17&lt;'Données projet'!$A$36,$K$205^A17,IF(A17='Données projet'!$A$36,'Données projet'!$B$36,N16+M17-V16)))</f>
        <v>6.7171941741218459</v>
      </c>
      <c r="O17" s="13">
        <f>N17*VLOOKUP('Données projet'!$B$9,Paramètres!$A$1:$I$89,3,0)*VLOOKUP('Données projet'!$B$9,Paramètres!$A$1:$I$89,5,0)</f>
        <v>6.077717288745446</v>
      </c>
      <c r="P17" s="13">
        <f t="shared" si="33"/>
        <v>2.2702054705343011</v>
      </c>
      <c r="Q17" s="20">
        <f t="shared" si="2"/>
        <v>14.53929880574556</v>
      </c>
      <c r="R17" s="59">
        <f t="shared" si="0"/>
        <v>307.87263213907886</v>
      </c>
      <c r="S17" s="59">
        <f ca="1">AVERAGE(OFFSET($R$3,0,0,'Données projet'!$E$9+1,1))-AVERAGE(OFFSET($H$3,0,0,'Données projet'!$E$9+1,1))</f>
        <v>173.91998182168385</v>
      </c>
      <c r="T17" s="59">
        <f t="shared" si="34"/>
        <v>72.011647893875363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1.2</v>
      </c>
      <c r="AI17" s="13">
        <f>IF('Données projet'!$A$62&gt;35,AI16+AH17-AQ16,IF(A17&lt;'Données projet'!$A$62,$AF$205^A17,IF(A17='Données projet'!$A$62,'Données projet'!$B$62,AI16+AH17-AQ16)))</f>
        <v>6.7171941741218459</v>
      </c>
      <c r="AJ17" s="13">
        <f>AI17*VLOOKUP('Données projet'!$B$10,Paramètres!$A$1:$I$89,3,0)*VLOOKUP('Données projet'!$B$10,Paramètres!$A$1:$I$89,5,0)</f>
        <v>7.2303878090247551</v>
      </c>
      <c r="AK17" s="13">
        <f t="shared" si="35"/>
        <v>2.6467154181950132</v>
      </c>
      <c r="AL17" s="20">
        <f t="shared" si="4"/>
        <v>17.202621454074428</v>
      </c>
      <c r="AM17" s="59">
        <f t="shared" si="5"/>
        <v>310.53595478740772</v>
      </c>
      <c r="AN17" s="59">
        <f ca="1">AVERAGE(OFFSET($AM$3,0,0,'Données projet'!$E$10+1,1))-AVERAGE(OFFSET($H$3,0,0,'Données projet'!$E$10+1,1))</f>
        <v>150.9416300233616</v>
      </c>
      <c r="AO17" s="59">
        <f t="shared" si="36"/>
        <v>92.286636088269972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1.2</v>
      </c>
      <c r="BD17" s="12">
        <f>IF('Données projet'!$A$88&gt;35,BD16+BC17-BL16,IF(A17&lt;'Données projet'!$A$88,$BA$205^A17,IF(A17='Données projet'!$A$88,'Données projet'!$B$88,BD16+BC17-BL16)))</f>
        <v>6.7171941741218459</v>
      </c>
      <c r="BE17" s="13">
        <f>BD17*VLOOKUP('Données projet'!$B$11,Paramètres!$A$1:$I$89,3,0)*VLOOKUP('Données projet'!$B$11,Paramètres!$A$1:$I$89,5,0)</f>
        <v>6.4968702052106497</v>
      </c>
      <c r="BF17" s="13">
        <f t="shared" si="37"/>
        <v>2.4080055723865681</v>
      </c>
      <c r="BG17" s="20">
        <f t="shared" si="7"/>
        <v>15.509325312648487</v>
      </c>
      <c r="BH17" s="59">
        <f t="shared" si="8"/>
        <v>308.84265864598183</v>
      </c>
      <c r="BI17" s="59">
        <f ca="1">AVERAGE(OFFSET($BH$3,0,0,'Données projet'!$E$11+1,1))-AVERAGE(OFFSET($H$3,0,0,'Données projet'!$E$11+1,1))</f>
        <v>131.02416800340484</v>
      </c>
      <c r="BJ17" s="59">
        <f t="shared" si="38"/>
        <v>79.394119001888555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1.2</v>
      </c>
      <c r="BY17" s="12">
        <f>IF('Données projet'!$A$114&gt;35,BY16+BX17-CG16,IF(A17&lt;'Données projet'!$A$114,$BV$205^A17,IF(A17='Données projet'!$A$114,'Données projet'!$B$114,BY16+BX17-CG16)))</f>
        <v>6.7171941741218459</v>
      </c>
      <c r="BZ17" s="13">
        <f>BY17*VLOOKUP('Données projet'!$B$12,Paramètres!$A$1:$I$89,3,0)*VLOOKUP('Données projet'!$B$12,Paramètres!$A$1:$I$89,5,0)</f>
        <v>6.077717288745446</v>
      </c>
      <c r="CA17" s="13">
        <f t="shared" si="39"/>
        <v>2.2702054705343011</v>
      </c>
      <c r="CB17" s="20">
        <f t="shared" si="10"/>
        <v>14.53929880574556</v>
      </c>
      <c r="CC17" s="59">
        <f t="shared" si="11"/>
        <v>307.87263213907886</v>
      </c>
      <c r="CD17" s="59">
        <f ca="1">AVERAGE(OFFSET($CC$3,0,0,'Données projet'!$E$12+1,1))-AVERAGE(OFFSET($H$3,0,0,'Données projet'!$E$12+1,1))</f>
        <v>119.62076457560073</v>
      </c>
      <c r="CE17" s="59">
        <f t="shared" si="40"/>
        <v>72.011647893875363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1.2</v>
      </c>
      <c r="CT17" s="12">
        <f>IF('Données projet'!$A$140&gt;35,CT16+CS17-DB16,IF(A17&lt;'Données projet'!$A$140,$CQ$205^A17,IF(A17='Données projet'!$A$140,'Données projet'!$B$140,CT16+CS17-DB16)))</f>
        <v>6.7171941741218459</v>
      </c>
      <c r="CU17" s="17">
        <f>CT17*VLOOKUP('Données projet'!$B$13,Paramètres!$A$1:$I$89,3,0)*VLOOKUP('Données projet'!$B$13,Paramètres!$A$1:$I$89,5,0)</f>
        <v>7.2303878090247551</v>
      </c>
      <c r="CV17" s="13">
        <f t="shared" si="41"/>
        <v>2.6467154181950132</v>
      </c>
      <c r="CW17" s="20">
        <f t="shared" si="13"/>
        <v>17.202621454074428</v>
      </c>
      <c r="CX17" s="59">
        <f t="shared" si="14"/>
        <v>310.53595478740772</v>
      </c>
      <c r="CY17" s="59">
        <f ca="1">AVERAGE(OFFSET($CX$3,0,0,'Données projet'!$E$13+1,1))-AVERAGE(OFFSET($H$3,0,0,'Données projet'!$E$13+1,1))</f>
        <v>150.9416300233616</v>
      </c>
      <c r="CZ17" s="59">
        <f t="shared" si="42"/>
        <v>92.286636088269972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3.8</v>
      </c>
      <c r="DO17" s="12">
        <f>IF('Données projet'!$A$166&gt;35,DO16+DN17-DW16,IF(A17&lt;'Données projet'!$A$166,$DL$205^A17,IF(A17='Données projet'!$A$166,'Données projet'!$B$166,DO16+DN17-DW16)))</f>
        <v>43.532793021472941</v>
      </c>
      <c r="DP17" s="17">
        <f>DO17*VLOOKUP('Données projet'!$B$14,Paramètres!$A$1:$I$89,3,0)*VLOOKUP('Données projet'!$B$14,Paramètres!$A$1:$I$89,5,0)</f>
        <v>26.03261022684082</v>
      </c>
      <c r="DQ17" s="13">
        <f t="shared" si="43"/>
        <v>8.2092507003184547</v>
      </c>
      <c r="DR17" s="20">
        <f t="shared" si="16"/>
        <v>59.637907781469067</v>
      </c>
      <c r="DS17" s="59">
        <f t="shared" si="17"/>
        <v>352.97124111480241</v>
      </c>
      <c r="DT17" s="59">
        <f ca="1">AVERAGE(OFFSET($DS$3,0,0,'Données projet'!$E$14+1,1))-AVERAGE(OFFSET($H$3,0,0,'Données projet'!$E$14+1,1))</f>
        <v>249.22792522076639</v>
      </c>
      <c r="DU17" s="59">
        <f t="shared" si="44"/>
        <v>244.53725944480669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21.4</v>
      </c>
      <c r="EJ17" s="12">
        <f>IF('Données projet'!$A$192&gt;35,EJ16+EI17-ER16,IF(A17&lt;'Données projet'!$A$192,$EG$205^A17,IF(A17='Données projet'!$A$192,'Données projet'!$B$192,EJ16+EI17-ER16)))</f>
        <v>131.60000000000002</v>
      </c>
      <c r="EK17" s="17">
        <f>EJ17*VLOOKUP('Données projet'!$B$15,Paramètres!$A$1:$I$89,3,0)*VLOOKUP('Données projet'!$B$15,Paramètres!$A$1:$I$89,5,0)</f>
        <v>73.564400000000006</v>
      </c>
      <c r="EL17" s="13">
        <f t="shared" si="45"/>
        <v>20.55604889730451</v>
      </c>
      <c r="EM17" s="20">
        <f t="shared" si="19"/>
        <v>163.9264484961387</v>
      </c>
      <c r="EN17" s="59">
        <f t="shared" si="20"/>
        <v>457.25978182947199</v>
      </c>
      <c r="EO17" s="59">
        <f ca="1">AVERAGE(OFFSET($EN$3,0,0,'Données projet'!$E$15+1,1))-AVERAGE(OFFSET($H$3,0,0,'Données projet'!$E$15+1,1))</f>
        <v>313.36787814924116</v>
      </c>
      <c r="EP17" s="59">
        <f t="shared" si="46"/>
        <v>438.72984487610216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1.2</v>
      </c>
      <c r="N18" s="13">
        <f>IF('Données projet'!$A$36&gt;35,N17+M18-V17,IF(A18&lt;'Données projet'!$A$36,$K$205^A18,IF(A18='Données projet'!$A$36,'Données projet'!$B$36,N17+M18-V17)))</f>
        <v>7.6961363407260848</v>
      </c>
      <c r="O18" s="13">
        <f>N18*VLOOKUP('Données projet'!$B$9,Paramètres!$A$1:$I$89,3,0)*VLOOKUP('Données projet'!$B$9,Paramètres!$A$1:$I$89,5,0)</f>
        <v>6.9634641610889609</v>
      </c>
      <c r="P18" s="13">
        <f t="shared" si="33"/>
        <v>2.5601920195323435</v>
      </c>
      <c r="Q18" s="20">
        <f t="shared" si="2"/>
        <v>16.587034514582104</v>
      </c>
      <c r="R18" s="59">
        <f t="shared" si="0"/>
        <v>309.92036784791543</v>
      </c>
      <c r="S18" s="59">
        <f ca="1">AVERAGE(OFFSET($R$3,0,0,'Données projet'!$E$9+1,1))-AVERAGE(OFFSET($H$3,0,0,'Données projet'!$E$9+1,1))</f>
        <v>173.91998182168385</v>
      </c>
      <c r="T18" s="59">
        <f t="shared" si="34"/>
        <v>72.011647893875363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1.2</v>
      </c>
      <c r="AI18" s="13">
        <f>IF('Données projet'!$A$62&gt;35,AI17+AH18-AQ17,IF(A18&lt;'Données projet'!$A$62,$AF$205^A18,IF(A18='Données projet'!$A$62,'Données projet'!$B$62,AI17+AH18-AQ17)))</f>
        <v>7.6961363407260848</v>
      </c>
      <c r="AJ18" s="13">
        <f>AI18*VLOOKUP('Données projet'!$B$10,Paramètres!$A$1:$I$89,3,0)*VLOOKUP('Données projet'!$B$10,Paramètres!$A$1:$I$89,5,0)</f>
        <v>8.284121157157557</v>
      </c>
      <c r="AK18" s="13">
        <f t="shared" si="35"/>
        <v>2.9847957727109624</v>
      </c>
      <c r="AL18" s="20">
        <f t="shared" si="4"/>
        <v>19.626696986187671</v>
      </c>
      <c r="AM18" s="59">
        <f t="shared" si="5"/>
        <v>312.96003031952097</v>
      </c>
      <c r="AN18" s="59">
        <f ca="1">AVERAGE(OFFSET($AM$3,0,0,'Données projet'!$E$10+1,1))-AVERAGE(OFFSET($H$3,0,0,'Données projet'!$E$10+1,1))</f>
        <v>150.9416300233616</v>
      </c>
      <c r="AO18" s="59">
        <f t="shared" si="36"/>
        <v>92.286636088269972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1.2</v>
      </c>
      <c r="BD18" s="12">
        <f>IF('Données projet'!$A$88&gt;35,BD17+BC18-BL17,IF(A18&lt;'Données projet'!$A$88,$BA$205^A18,IF(A18='Données projet'!$A$88,'Données projet'!$B$88,BD17+BC18-BL17)))</f>
        <v>7.6961363407260848</v>
      </c>
      <c r="BE18" s="13">
        <f>BD18*VLOOKUP('Données projet'!$B$11,Paramètres!$A$1:$I$89,3,0)*VLOOKUP('Données projet'!$B$11,Paramètres!$A$1:$I$89,5,0)</f>
        <v>7.4437030687502697</v>
      </c>
      <c r="BF18" s="13">
        <f t="shared" si="37"/>
        <v>2.7155941298840056</v>
      </c>
      <c r="BG18" s="20">
        <f t="shared" si="7"/>
        <v>17.694109287621362</v>
      </c>
      <c r="BH18" s="59">
        <f t="shared" si="8"/>
        <v>311.02744262095467</v>
      </c>
      <c r="BI18" s="59">
        <f ca="1">AVERAGE(OFFSET($BH$3,0,0,'Données projet'!$E$11+1,1))-AVERAGE(OFFSET($H$3,0,0,'Données projet'!$E$11+1,1))</f>
        <v>131.02416800340484</v>
      </c>
      <c r="BJ18" s="59">
        <f t="shared" si="38"/>
        <v>79.394119001888555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1.2</v>
      </c>
      <c r="BY18" s="12">
        <f>IF('Données projet'!$A$114&gt;35,BY17+BX18-CG17,IF(A18&lt;'Données projet'!$A$114,$BV$205^A18,IF(A18='Données projet'!$A$114,'Données projet'!$B$114,BY17+BX18-CG17)))</f>
        <v>7.6961363407260848</v>
      </c>
      <c r="BZ18" s="13">
        <f>BY18*VLOOKUP('Données projet'!$B$12,Paramètres!$A$1:$I$89,3,0)*VLOOKUP('Données projet'!$B$12,Paramètres!$A$1:$I$89,5,0)</f>
        <v>6.9634641610889609</v>
      </c>
      <c r="CA18" s="13">
        <f t="shared" si="39"/>
        <v>2.5601920195323435</v>
      </c>
      <c r="CB18" s="20">
        <f t="shared" si="10"/>
        <v>16.587034514582104</v>
      </c>
      <c r="CC18" s="59">
        <f t="shared" si="11"/>
        <v>309.92036784791543</v>
      </c>
      <c r="CD18" s="59">
        <f ca="1">AVERAGE(OFFSET($CC$3,0,0,'Données projet'!$E$12+1,1))-AVERAGE(OFFSET($H$3,0,0,'Données projet'!$E$12+1,1))</f>
        <v>119.62076457560073</v>
      </c>
      <c r="CE18" s="59">
        <f t="shared" si="40"/>
        <v>72.011647893875363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1.2</v>
      </c>
      <c r="CT18" s="12">
        <f>IF('Données projet'!$A$140&gt;35,CT17+CS18-DB17,IF(A18&lt;'Données projet'!$A$140,$CQ$205^A18,IF(A18='Données projet'!$A$140,'Données projet'!$B$140,CT17+CS18-DB17)))</f>
        <v>7.6961363407260848</v>
      </c>
      <c r="CU18" s="17">
        <f>CT18*VLOOKUP('Données projet'!$B$13,Paramètres!$A$1:$I$89,3,0)*VLOOKUP('Données projet'!$B$13,Paramètres!$A$1:$I$89,5,0)</f>
        <v>8.284121157157557</v>
      </c>
      <c r="CV18" s="13">
        <f t="shared" si="41"/>
        <v>2.9847957727109624</v>
      </c>
      <c r="CW18" s="20">
        <f t="shared" si="13"/>
        <v>19.626696986187671</v>
      </c>
      <c r="CX18" s="59">
        <f t="shared" si="14"/>
        <v>312.96003031952097</v>
      </c>
      <c r="CY18" s="59">
        <f ca="1">AVERAGE(OFFSET($CX$3,0,0,'Données projet'!$E$13+1,1))-AVERAGE(OFFSET($H$3,0,0,'Données projet'!$E$13+1,1))</f>
        <v>150.9416300233616</v>
      </c>
      <c r="CZ18" s="59">
        <f t="shared" si="42"/>
        <v>92.286636088269972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>
        <f>VLOOKUP(A18,'Données projet'!$A$165:$I$185,2,0)</f>
        <v>57</v>
      </c>
      <c r="DM18" s="12">
        <f>VLOOKUP(A18,'Données projet'!$A$165:$I$185,9,0)</f>
        <v>3.8</v>
      </c>
      <c r="DN18" s="12">
        <f t="array" ref="DN18">INDEX(DM:DM,MIN(IF(ISNUMBER(DM18:DM214),ROW(DM18:DM214),"")))</f>
        <v>3.8</v>
      </c>
      <c r="DO18" s="12">
        <f>IF('Données projet'!$A$166&gt;35,DO17+DN18-DW17,IF(A18&lt;'Données projet'!$A$166,$DL$205^A18,IF(A18='Données projet'!$A$166,'Données projet'!$B$166,DO17+DN18-DW17)))</f>
        <v>57</v>
      </c>
      <c r="DP18" s="17">
        <f>DO18*VLOOKUP('Données projet'!$B$14,Paramètres!$A$1:$I$89,3,0)*VLOOKUP('Données projet'!$B$14,Paramètres!$A$1:$I$89,5,0)</f>
        <v>34.086000000000006</v>
      </c>
      <c r="DQ18" s="13">
        <f t="shared" si="43"/>
        <v>10.416846235156795</v>
      </c>
      <c r="DR18" s="20">
        <f t="shared" si="16"/>
        <v>77.509123859564752</v>
      </c>
      <c r="DS18" s="59">
        <f t="shared" si="17"/>
        <v>370.84245719289805</v>
      </c>
      <c r="DT18" s="59">
        <f ca="1">AVERAGE(OFFSET($DS$3,0,0,'Données projet'!$E$14+1,1))-AVERAGE(OFFSET($H$3,0,0,'Données projet'!$E$14+1,1))</f>
        <v>249.22792522076639</v>
      </c>
      <c r="DU18" s="59">
        <f t="shared" si="44"/>
        <v>244.53725944480669</v>
      </c>
      <c r="DV18" s="15">
        <f>IF(ISNA(VLOOKUP(A18,'Données projet'!$A$165:$I$185,3,0)),0,VLOOKUP(A18,'Données projet'!$A$165:$I$185,3,0))</f>
        <v>1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9.0000000000000011E-2</v>
      </c>
      <c r="DY18" s="16">
        <f>IF(ISNA(VLOOKUP(A18,'Données projet'!$A$165:$I$185,6,0)),0%,VLOOKUP(A18,'Données projet'!$A$165:$I$185,6,0)*VLOOKUP('Données projet'!$B$14,Paramètres!$A$1:$I$89,7,0))</f>
        <v>0.20250000000000001</v>
      </c>
      <c r="DZ18" s="16">
        <f>IF(ISNA(VLOOKUP(A18,'Données projet'!$A$165:$I$185,7,0)),0%,VLOOKUP(A18,'Données projet'!$A$165:$I$185,7,0))</f>
        <v>0.35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>
        <f>VLOOKUP(A18,'Données projet'!$A$191:$I$211,2,0)</f>
        <v>153</v>
      </c>
      <c r="EH18" s="12">
        <f>VLOOKUP(A18,'Données projet'!$A$191:$I$211,9,0)</f>
        <v>21.4</v>
      </c>
      <c r="EI18" s="12">
        <f t="array" ref="EI18">INDEX(EH:EH,MIN(IF(ISNUMBER(EH18:EH214),ROW(EH18:EH214),"")))</f>
        <v>21.4</v>
      </c>
      <c r="EJ18" s="12">
        <f>IF('Données projet'!$A$192&gt;35,EJ17+EI18-ER17,IF(A18&lt;'Données projet'!$A$192,$EG$205^A18,IF(A18='Données projet'!$A$192,'Données projet'!$B$192,EJ17+EI18-ER17)))</f>
        <v>153.00000000000003</v>
      </c>
      <c r="EK18" s="17">
        <f>EJ18*VLOOKUP('Données projet'!$B$15,Paramètres!$A$1:$I$89,3,0)*VLOOKUP('Données projet'!$B$15,Paramètres!$A$1:$I$89,5,0)</f>
        <v>85.527000000000015</v>
      </c>
      <c r="EL18" s="13">
        <f t="shared" si="45"/>
        <v>23.483265411107251</v>
      </c>
      <c r="EM18" s="20">
        <f t="shared" si="19"/>
        <v>189.85954559101182</v>
      </c>
      <c r="EN18" s="59">
        <f t="shared" si="20"/>
        <v>483.19287892434511</v>
      </c>
      <c r="EO18" s="59">
        <f ca="1">AVERAGE(OFFSET($EN$3,0,0,'Données projet'!$E$15+1,1))-AVERAGE(OFFSET($H$3,0,0,'Données projet'!$E$15+1,1))</f>
        <v>313.36787814924116</v>
      </c>
      <c r="EP18" s="59">
        <f t="shared" si="46"/>
        <v>438.72984487610216</v>
      </c>
      <c r="EQ18" s="15">
        <f>IF(ISNA(VLOOKUP(A18,'Données projet'!$A$191:$I$211,3,0)),0,VLOOKUP(A18,'Données projet'!$A$191:$I$211,3,0))</f>
        <v>2</v>
      </c>
      <c r="ER18" s="15">
        <f>IF(ISNA(VLOOKUP(A18,'Données projet'!$A$191:$I$211,4,0)),0,VLOOKUP(A18,'Données projet'!$A$191:$I$211,4,0))</f>
        <v>60</v>
      </c>
      <c r="ES18" s="16">
        <f>IF(ISNA(VLOOKUP(A18,'Données projet'!$A$191:$I$211,5,0)),0%,VLOOKUP(A18,'Données projet'!$A$191:$I$211,5,0)*VLOOKUP('Données projet'!$B$15,Paramètres!$A$1:$I$89,7,0))</f>
        <v>0.22000000000000003</v>
      </c>
      <c r="ET18" s="16">
        <f>IF(ISNA(VLOOKUP(A18,'Données projet'!$A$191:$I$211,6,0)),0%,VLOOKUP(A18,'Données projet'!$A$191:$I$211,6,0)*VLOOKUP('Données projet'!$B$15,Paramètres!$A$1:$I$89,7,0))</f>
        <v>0.18700000000000003</v>
      </c>
      <c r="EU18" s="16">
        <f>IF(ISNA(VLOOKUP(A18,'Données projet'!$A$191:$I$211,7,0)),0%,VLOOKUP(A18,'Données projet'!$A$191:$I$211,7,0))</f>
        <v>0.26</v>
      </c>
      <c r="EV18" s="21">
        <f>EXP(-LN(2)/35)*EV17+(1-EXP(-LN(2)/35))/(LN(2)/35)*ER18*ES18*VLOOKUP('Données projet'!$B$15,Paramètres!$A$1:$I$89,3,0)*0.475*44/12</f>
        <v>9.7884538037972799</v>
      </c>
      <c r="EW18" s="21">
        <f>EXP(-LN(2)/25)*EW17+(1-EXP(-LN(2)/25))/(LN(2)/25)*Calculateur!ER18*Calculateur!ET18*VLOOKUP('Données projet'!$B$15,Paramètres!$A$1:$I$89,3,0)*0.475*44/12</f>
        <v>8.2874259917566633</v>
      </c>
      <c r="EX18" s="21">
        <f>EXP(-LN(2)/2)*EX17+(1-EXP(-LN(2)/2))/(LN(2)/2)*ER18*EU18*VLOOKUP('Données projet'!$B$15,Paramètres!$A$1:$I$89,3,0)*0.475*44/12</f>
        <v>9.873518527349793</v>
      </c>
      <c r="EY18" s="22">
        <f t="shared" si="21"/>
        <v>27.94939832290374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1.2</v>
      </c>
      <c r="N19" s="13">
        <f>IF('Données projet'!$A$36&gt;35,N18+M19-V18,IF(A19&lt;'Données projet'!$A$36,$K$205^A19,IF(A19='Données projet'!$A$36,'Données projet'!$B$36,N18+M19-V18)))</f>
        <v>8.8177463744060987</v>
      </c>
      <c r="O19" s="13">
        <f>N19*VLOOKUP('Données projet'!$B$9,Paramètres!$A$1:$I$89,3,0)*VLOOKUP('Données projet'!$B$9,Paramètres!$A$1:$I$89,5,0)</f>
        <v>7.9782969195626388</v>
      </c>
      <c r="P19" s="13">
        <f t="shared" si="33"/>
        <v>2.887220237089136</v>
      </c>
      <c r="Q19" s="20">
        <f t="shared" si="2"/>
        <v>18.924109047835174</v>
      </c>
      <c r="R19" s="59">
        <f t="shared" si="0"/>
        <v>312.25744238116852</v>
      </c>
      <c r="S19" s="59">
        <f ca="1">AVERAGE(OFFSET($R$3,0,0,'Données projet'!$E$9+1,1))-AVERAGE(OFFSET($H$3,0,0,'Données projet'!$E$9+1,1))</f>
        <v>173.91998182168385</v>
      </c>
      <c r="T19" s="59">
        <f t="shared" si="34"/>
        <v>72.011647893875363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1.2</v>
      </c>
      <c r="AI19" s="13">
        <f>IF('Données projet'!$A$62&gt;35,AI18+AH19-AQ18,IF(A19&lt;'Données projet'!$A$62,$AF$205^A19,IF(A19='Données projet'!$A$62,'Données projet'!$B$62,AI18+AH19-AQ18)))</f>
        <v>8.8177463744060987</v>
      </c>
      <c r="AJ19" s="13">
        <f>AI19*VLOOKUP('Données projet'!$B$10,Paramètres!$A$1:$I$89,3,0)*VLOOKUP('Données projet'!$B$10,Paramètres!$A$1:$I$89,5,0)</f>
        <v>9.4914221974107242</v>
      </c>
      <c r="AK19" s="13">
        <f t="shared" si="35"/>
        <v>3.3660610972935361</v>
      </c>
      <c r="AL19" s="20">
        <f t="shared" si="4"/>
        <v>22.393450071609919</v>
      </c>
      <c r="AM19" s="59">
        <f t="shared" si="5"/>
        <v>315.72678340494326</v>
      </c>
      <c r="AN19" s="59">
        <f ca="1">AVERAGE(OFFSET($AM$3,0,0,'Données projet'!$E$10+1,1))-AVERAGE(OFFSET($H$3,0,0,'Données projet'!$E$10+1,1))</f>
        <v>150.9416300233616</v>
      </c>
      <c r="AO19" s="59">
        <f t="shared" si="36"/>
        <v>92.286636088269972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1.2</v>
      </c>
      <c r="BD19" s="12">
        <f>IF('Données projet'!$A$88&gt;35,BD18+BC19-BL18,IF(A19&lt;'Données projet'!$A$88,$BA$205^A19,IF(A19='Données projet'!$A$88,'Données projet'!$B$88,BD18+BC19-BL18)))</f>
        <v>8.8177463744060987</v>
      </c>
      <c r="BE19" s="13">
        <f>BD19*VLOOKUP('Données projet'!$B$11,Paramètres!$A$1:$I$89,3,0)*VLOOKUP('Données projet'!$B$11,Paramètres!$A$1:$I$89,5,0)</f>
        <v>8.528524293325578</v>
      </c>
      <c r="BF19" s="13">
        <f t="shared" si="37"/>
        <v>3.0624727628647754</v>
      </c>
      <c r="BG19" s="20">
        <f t="shared" si="7"/>
        <v>20.187653206198199</v>
      </c>
      <c r="BH19" s="59">
        <f t="shared" si="8"/>
        <v>313.52098653953152</v>
      </c>
      <c r="BI19" s="59">
        <f ca="1">AVERAGE(OFFSET($BH$3,0,0,'Données projet'!$E$11+1,1))-AVERAGE(OFFSET($H$3,0,0,'Données projet'!$E$11+1,1))</f>
        <v>131.02416800340484</v>
      </c>
      <c r="BJ19" s="59">
        <f t="shared" si="38"/>
        <v>79.394119001888555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1.2</v>
      </c>
      <c r="BY19" s="12">
        <f>IF('Données projet'!$A$114&gt;35,BY18+BX19-CG18,IF(A19&lt;'Données projet'!$A$114,$BV$205^A19,IF(A19='Données projet'!$A$114,'Données projet'!$B$114,BY18+BX19-CG18)))</f>
        <v>8.8177463744060987</v>
      </c>
      <c r="BZ19" s="13">
        <f>BY19*VLOOKUP('Données projet'!$B$12,Paramètres!$A$1:$I$89,3,0)*VLOOKUP('Données projet'!$B$12,Paramètres!$A$1:$I$89,5,0)</f>
        <v>7.9782969195626388</v>
      </c>
      <c r="CA19" s="13">
        <f t="shared" si="39"/>
        <v>2.887220237089136</v>
      </c>
      <c r="CB19" s="20">
        <f t="shared" si="10"/>
        <v>18.924109047835174</v>
      </c>
      <c r="CC19" s="59">
        <f t="shared" si="11"/>
        <v>312.25744238116852</v>
      </c>
      <c r="CD19" s="59">
        <f ca="1">AVERAGE(OFFSET($CC$3,0,0,'Données projet'!$E$12+1,1))-AVERAGE(OFFSET($H$3,0,0,'Données projet'!$E$12+1,1))</f>
        <v>119.62076457560073</v>
      </c>
      <c r="CE19" s="59">
        <f t="shared" si="40"/>
        <v>72.011647893875363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1.2</v>
      </c>
      <c r="CT19" s="12">
        <f>IF('Données projet'!$A$140&gt;35,CT18+CS19-DB18,IF(A19&lt;'Données projet'!$A$140,$CQ$205^A19,IF(A19='Données projet'!$A$140,'Données projet'!$B$140,CT18+CS19-DB18)))</f>
        <v>8.8177463744060987</v>
      </c>
      <c r="CU19" s="17">
        <f>CT19*VLOOKUP('Données projet'!$B$13,Paramètres!$A$1:$I$89,3,0)*VLOOKUP('Données projet'!$B$13,Paramètres!$A$1:$I$89,5,0)</f>
        <v>9.4914221974107242</v>
      </c>
      <c r="CV19" s="13">
        <f t="shared" si="41"/>
        <v>3.3660610972935361</v>
      </c>
      <c r="CW19" s="20">
        <f t="shared" si="13"/>
        <v>22.393450071609919</v>
      </c>
      <c r="CX19" s="59">
        <f t="shared" si="14"/>
        <v>315.72678340494326</v>
      </c>
      <c r="CY19" s="59">
        <f ca="1">AVERAGE(OFFSET($CX$3,0,0,'Données projet'!$E$13+1,1))-AVERAGE(OFFSET($H$3,0,0,'Données projet'!$E$13+1,1))</f>
        <v>150.9416300233616</v>
      </c>
      <c r="CZ19" s="59">
        <f t="shared" si="42"/>
        <v>92.286636088269972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13</v>
      </c>
      <c r="DO19" s="12">
        <f>IF('Données projet'!$A$166&gt;35,DO18+DN19-DW18,IF(A19&lt;'Données projet'!$A$166,$DL$205^A19,IF(A19='Données projet'!$A$166,'Données projet'!$B$166,DO18+DN19-DW18)))</f>
        <v>70</v>
      </c>
      <c r="DP19" s="17">
        <f>DO19*VLOOKUP('Données projet'!$B$14,Paramètres!$A$1:$I$89,3,0)*VLOOKUP('Données projet'!$B$14,Paramètres!$A$1:$I$89,5,0)</f>
        <v>41.860000000000007</v>
      </c>
      <c r="DQ19" s="13">
        <f t="shared" si="43"/>
        <v>12.490328459088218</v>
      </c>
      <c r="DR19" s="20">
        <f t="shared" si="16"/>
        <v>94.66015539957867</v>
      </c>
      <c r="DS19" s="59">
        <f t="shared" si="17"/>
        <v>387.993488732912</v>
      </c>
      <c r="DT19" s="59">
        <f ca="1">AVERAGE(OFFSET($DS$3,0,0,'Données projet'!$E$14+1,1))-AVERAGE(OFFSET($H$3,0,0,'Données projet'!$E$14+1,1))</f>
        <v>249.22792522076639</v>
      </c>
      <c r="DU19" s="59">
        <f t="shared" si="44"/>
        <v>244.53725944480669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28</v>
      </c>
      <c r="EJ19" s="12">
        <f>IF('Données projet'!$A$192&gt;35,EJ18+EI19-ER18,IF(A19&lt;'Données projet'!$A$192,$EG$205^A19,IF(A19='Données projet'!$A$192,'Données projet'!$B$192,EJ18+EI19-ER18)))</f>
        <v>121.00000000000003</v>
      </c>
      <c r="EK19" s="17">
        <f>EJ19*VLOOKUP('Données projet'!$B$15,Paramètres!$A$1:$I$89,3,0)*VLOOKUP('Données projet'!$B$15,Paramètres!$A$1:$I$89,5,0)</f>
        <v>67.63900000000001</v>
      </c>
      <c r="EL19" s="13">
        <f t="shared" si="45"/>
        <v>19.085972402913089</v>
      </c>
      <c r="EM19" s="20">
        <f t="shared" si="19"/>
        <v>151.04599360174032</v>
      </c>
      <c r="EN19" s="59">
        <f t="shared" si="20"/>
        <v>444.37932693507366</v>
      </c>
      <c r="EO19" s="59">
        <f ca="1">AVERAGE(OFFSET($EN$3,0,0,'Données projet'!$E$15+1,1))-AVERAGE(OFFSET($H$3,0,0,'Données projet'!$E$15+1,1))</f>
        <v>313.36787814924116</v>
      </c>
      <c r="EP19" s="59">
        <f t="shared" si="46"/>
        <v>438.72984487610216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9.5965081950721114</v>
      </c>
      <c r="EW19" s="21">
        <f>EXP(-LN(2)/25)*EW18+(1-EXP(-LN(2)/25))/(LN(2)/25)*Calculateur!ER19*Calculateur!ET19*VLOOKUP('Données projet'!$B$15,Paramètres!$A$1:$I$89,3,0)*0.475*44/12</f>
        <v>8.060805892195285</v>
      </c>
      <c r="EX19" s="21">
        <f>EXP(-LN(2)/2)*EX18+(1-EXP(-LN(2)/2))/(LN(2)/2)*ER19*EU19*VLOOKUP('Données projet'!$B$15,Paramètres!$A$1:$I$89,3,0)*0.475*44/12</f>
        <v>6.9816319048600537</v>
      </c>
      <c r="EY19" s="22">
        <f t="shared" si="21"/>
        <v>24.638945992127447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1.2</v>
      </c>
      <c r="N20" s="13">
        <f>IF('Données projet'!$A$36&gt;35,N19+M20-V19,IF(A20&lt;'Données projet'!$A$36,$K$205^A20,IF(A20='Données projet'!$A$36,'Données projet'!$B$36,N19+M20-V19)))</f>
        <v>10.102816228956828</v>
      </c>
      <c r="O20" s="13">
        <f>N20*VLOOKUP('Données projet'!$B$9,Paramètres!$A$1:$I$89,3,0)*VLOOKUP('Données projet'!$B$9,Paramètres!$A$1:$I$89,5,0)</f>
        <v>9.1410281239601368</v>
      </c>
      <c r="P20" s="13">
        <f t="shared" si="33"/>
        <v>3.2560216709759704</v>
      </c>
      <c r="Q20" s="20">
        <f t="shared" si="2"/>
        <v>21.591528392847053</v>
      </c>
      <c r="R20" s="59">
        <f t="shared" si="0"/>
        <v>314.92486172618038</v>
      </c>
      <c r="S20" s="59">
        <f ca="1">AVERAGE(OFFSET($R$3,0,0,'Données projet'!$E$9+1,1))-AVERAGE(OFFSET($H$3,0,0,'Données projet'!$E$9+1,1))</f>
        <v>173.91998182168385</v>
      </c>
      <c r="T20" s="59">
        <f t="shared" si="34"/>
        <v>72.011647893875363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1.2</v>
      </c>
      <c r="AI20" s="13">
        <f>IF('Données projet'!$A$62&gt;35,AI19+AH20-AQ19,IF(A20&lt;'Données projet'!$A$62,$AF$205^A20,IF(A20='Données projet'!$A$62,'Données projet'!$B$62,AI19+AH20-AQ19)))</f>
        <v>10.102816228956828</v>
      </c>
      <c r="AJ20" s="13">
        <f>AI20*VLOOKUP('Données projet'!$B$10,Paramètres!$A$1:$I$89,3,0)*VLOOKUP('Données projet'!$B$10,Paramètres!$A$1:$I$89,5,0)</f>
        <v>10.874671388849128</v>
      </c>
      <c r="AK20" s="13">
        <f t="shared" si="35"/>
        <v>3.7960276593470508</v>
      </c>
      <c r="AL20" s="20">
        <f t="shared" si="4"/>
        <v>25.551467508941673</v>
      </c>
      <c r="AM20" s="59">
        <f t="shared" si="5"/>
        <v>318.88480084227501</v>
      </c>
      <c r="AN20" s="59">
        <f ca="1">AVERAGE(OFFSET($AM$3,0,0,'Données projet'!$E$10+1,1))-AVERAGE(OFFSET($H$3,0,0,'Données projet'!$E$10+1,1))</f>
        <v>150.9416300233616</v>
      </c>
      <c r="AO20" s="59">
        <f t="shared" si="36"/>
        <v>92.286636088269972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1.2</v>
      </c>
      <c r="BD20" s="12">
        <f>IF('Données projet'!$A$88&gt;35,BD19+BC20-BL19,IF(A20&lt;'Données projet'!$A$88,$BA$205^A20,IF(A20='Données projet'!$A$88,'Données projet'!$B$88,BD19+BC20-BL19)))</f>
        <v>10.102816228956828</v>
      </c>
      <c r="BE20" s="13">
        <f>BD20*VLOOKUP('Données projet'!$B$11,Paramètres!$A$1:$I$89,3,0)*VLOOKUP('Données projet'!$B$11,Paramètres!$A$1:$I$89,5,0)</f>
        <v>9.7714438566470445</v>
      </c>
      <c r="BF20" s="13">
        <f t="shared" si="37"/>
        <v>3.4536602211941068</v>
      </c>
      <c r="BG20" s="20">
        <f t="shared" si="7"/>
        <v>23.033722935573341</v>
      </c>
      <c r="BH20" s="59">
        <f t="shared" si="8"/>
        <v>316.36705626890665</v>
      </c>
      <c r="BI20" s="59">
        <f ca="1">AVERAGE(OFFSET($BH$3,0,0,'Données projet'!$E$11+1,1))-AVERAGE(OFFSET($H$3,0,0,'Données projet'!$E$11+1,1))</f>
        <v>131.02416800340484</v>
      </c>
      <c r="BJ20" s="59">
        <f t="shared" si="38"/>
        <v>79.394119001888555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1.2</v>
      </c>
      <c r="BY20" s="12">
        <f>IF('Données projet'!$A$114&gt;35,BY19+BX20-CG19,IF(A20&lt;'Données projet'!$A$114,$BV$205^A20,IF(A20='Données projet'!$A$114,'Données projet'!$B$114,BY19+BX20-CG19)))</f>
        <v>10.102816228956828</v>
      </c>
      <c r="BZ20" s="13">
        <f>BY20*VLOOKUP('Données projet'!$B$12,Paramètres!$A$1:$I$89,3,0)*VLOOKUP('Données projet'!$B$12,Paramètres!$A$1:$I$89,5,0)</f>
        <v>9.1410281239601368</v>
      </c>
      <c r="CA20" s="13">
        <f t="shared" si="39"/>
        <v>3.2560216709759704</v>
      </c>
      <c r="CB20" s="20">
        <f t="shared" si="10"/>
        <v>21.591528392847053</v>
      </c>
      <c r="CC20" s="59">
        <f t="shared" si="11"/>
        <v>314.92486172618038</v>
      </c>
      <c r="CD20" s="59">
        <f ca="1">AVERAGE(OFFSET($CC$3,0,0,'Données projet'!$E$12+1,1))-AVERAGE(OFFSET($H$3,0,0,'Données projet'!$E$12+1,1))</f>
        <v>119.62076457560073</v>
      </c>
      <c r="CE20" s="59">
        <f t="shared" si="40"/>
        <v>72.011647893875363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1.2</v>
      </c>
      <c r="CT20" s="12">
        <f>IF('Données projet'!$A$140&gt;35,CT19+CS20-DB19,IF(A20&lt;'Données projet'!$A$140,$CQ$205^A20,IF(A20='Données projet'!$A$140,'Données projet'!$B$140,CT19+CS20-DB19)))</f>
        <v>10.102816228956828</v>
      </c>
      <c r="CU20" s="17">
        <f>CT20*VLOOKUP('Données projet'!$B$13,Paramètres!$A$1:$I$89,3,0)*VLOOKUP('Données projet'!$B$13,Paramètres!$A$1:$I$89,5,0)</f>
        <v>10.874671388849128</v>
      </c>
      <c r="CV20" s="13">
        <f t="shared" si="41"/>
        <v>3.7960276593470508</v>
      </c>
      <c r="CW20" s="20">
        <f t="shared" si="13"/>
        <v>25.551467508941673</v>
      </c>
      <c r="CX20" s="59">
        <f t="shared" si="14"/>
        <v>318.88480084227501</v>
      </c>
      <c r="CY20" s="59">
        <f ca="1">AVERAGE(OFFSET($CX$3,0,0,'Données projet'!$E$13+1,1))-AVERAGE(OFFSET($H$3,0,0,'Données projet'!$E$13+1,1))</f>
        <v>150.9416300233616</v>
      </c>
      <c r="CZ20" s="59">
        <f t="shared" si="42"/>
        <v>92.286636088269972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13</v>
      </c>
      <c r="DO20" s="12">
        <f>IF('Données projet'!$A$166&gt;35,DO19+DN20-DW19,IF(A20&lt;'Données projet'!$A$166,$DL$205^A20,IF(A20='Données projet'!$A$166,'Données projet'!$B$166,DO19+DN20-DW19)))</f>
        <v>83</v>
      </c>
      <c r="DP20" s="17">
        <f>DO20*VLOOKUP('Données projet'!$B$14,Paramètres!$A$1:$I$89,3,0)*VLOOKUP('Données projet'!$B$14,Paramètres!$A$1:$I$89,5,0)</f>
        <v>49.634</v>
      </c>
      <c r="DQ20" s="13">
        <f t="shared" si="43"/>
        <v>14.519198189037462</v>
      </c>
      <c r="DR20" s="20">
        <f t="shared" si="16"/>
        <v>111.73348684590691</v>
      </c>
      <c r="DS20" s="59">
        <f t="shared" si="17"/>
        <v>405.06682017924021</v>
      </c>
      <c r="DT20" s="59">
        <f ca="1">AVERAGE(OFFSET($DS$3,0,0,'Données projet'!$E$14+1,1))-AVERAGE(OFFSET($H$3,0,0,'Données projet'!$E$14+1,1))</f>
        <v>249.22792522076639</v>
      </c>
      <c r="DU20" s="59">
        <f t="shared" si="44"/>
        <v>244.53725944480669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28</v>
      </c>
      <c r="EJ20" s="12">
        <f>IF('Données projet'!$A$192&gt;35,EJ19+EI20-ER19,IF(A20&lt;'Données projet'!$A$192,$EG$205^A20,IF(A20='Données projet'!$A$192,'Données projet'!$B$192,EJ19+EI20-ER19)))</f>
        <v>149.00000000000003</v>
      </c>
      <c r="EK20" s="17">
        <f>EJ20*VLOOKUP('Données projet'!$B$15,Paramètres!$A$1:$I$89,3,0)*VLOOKUP('Données projet'!$B$15,Paramètres!$A$1:$I$89,5,0)</f>
        <v>83.291000000000011</v>
      </c>
      <c r="EL20" s="13">
        <f t="shared" si="45"/>
        <v>22.939953069474296</v>
      </c>
      <c r="EM20" s="20">
        <f t="shared" si="19"/>
        <v>185.0189099293344</v>
      </c>
      <c r="EN20" s="59">
        <f t="shared" si="20"/>
        <v>478.35224326266768</v>
      </c>
      <c r="EO20" s="59">
        <f ca="1">AVERAGE(OFFSET($EN$3,0,0,'Données projet'!$E$15+1,1))-AVERAGE(OFFSET($H$3,0,0,'Données projet'!$E$15+1,1))</f>
        <v>313.36787814924116</v>
      </c>
      <c r="EP20" s="59">
        <f t="shared" si="46"/>
        <v>438.72984487610216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9.4083265226587809</v>
      </c>
      <c r="EW20" s="21">
        <f>EXP(-LN(2)/25)*EW19+(1-EXP(-LN(2)/25))/(LN(2)/25)*Calculateur!ER20*Calculateur!ET20*VLOOKUP('Données projet'!$B$15,Paramètres!$A$1:$I$89,3,0)*0.475*44/12</f>
        <v>7.8403827311738459</v>
      </c>
      <c r="EX20" s="21">
        <f>EXP(-LN(2)/2)*EX19+(1-EXP(-LN(2)/2))/(LN(2)/2)*ER20*EU20*VLOOKUP('Données projet'!$B$15,Paramètres!$A$1:$I$89,3,0)*0.475*44/12</f>
        <v>4.9367592636748974</v>
      </c>
      <c r="EY20" s="22">
        <f t="shared" si="21"/>
        <v>22.185468517507523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1.2</v>
      </c>
      <c r="N21" s="13">
        <f>IF('Données projet'!$A$36&gt;35,N20+M21-V20,IF(A21&lt;'Données projet'!$A$36,$K$205^A21,IF(A21='Données projet'!$A$36,'Données projet'!$B$36,N20+M21-V20)))</f>
        <v>11.575168010312384</v>
      </c>
      <c r="O21" s="13">
        <f>N21*VLOOKUP('Données projet'!$B$9,Paramètres!$A$1:$I$89,3,0)*VLOOKUP('Données projet'!$B$9,Paramètres!$A$1:$I$89,5,0)</f>
        <v>10.473212015730644</v>
      </c>
      <c r="P21" s="13">
        <f t="shared" si="33"/>
        <v>3.6719322570811741</v>
      </c>
      <c r="Q21" s="20">
        <f t="shared" si="2"/>
        <v>24.636126275147248</v>
      </c>
      <c r="R21" s="59">
        <f t="shared" si="0"/>
        <v>317.96945960848058</v>
      </c>
      <c r="S21" s="59">
        <f ca="1">AVERAGE(OFFSET($R$3,0,0,'Données projet'!$E$9+1,1))-AVERAGE(OFFSET($H$3,0,0,'Données projet'!$E$9+1,1))</f>
        <v>173.91998182168385</v>
      </c>
      <c r="T21" s="59">
        <f t="shared" si="34"/>
        <v>72.011647893875363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1.2</v>
      </c>
      <c r="AI21" s="13">
        <f>IF('Données projet'!$A$62&gt;35,AI20+AH21-AQ20,IF(A21&lt;'Données projet'!$A$62,$AF$205^A21,IF(A21='Données projet'!$A$62,'Données projet'!$B$62,AI20+AH21-AQ20)))</f>
        <v>11.575168010312384</v>
      </c>
      <c r="AJ21" s="13">
        <f>AI21*VLOOKUP('Données projet'!$B$10,Paramètres!$A$1:$I$89,3,0)*VLOOKUP('Données projet'!$B$10,Paramètres!$A$1:$I$89,5,0)</f>
        <v>12.459510846300249</v>
      </c>
      <c r="AK21" s="13">
        <f t="shared" si="35"/>
        <v>4.2809163511957635</v>
      </c>
      <c r="AL21" s="20">
        <f t="shared" si="4"/>
        <v>29.156244035638881</v>
      </c>
      <c r="AM21" s="59">
        <f t="shared" si="5"/>
        <v>322.48957736897222</v>
      </c>
      <c r="AN21" s="59">
        <f ca="1">AVERAGE(OFFSET($AM$3,0,0,'Données projet'!$E$10+1,1))-AVERAGE(OFFSET($H$3,0,0,'Données projet'!$E$10+1,1))</f>
        <v>150.9416300233616</v>
      </c>
      <c r="AO21" s="59">
        <f t="shared" si="36"/>
        <v>92.286636088269972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1.2</v>
      </c>
      <c r="BD21" s="12">
        <f>IF('Données projet'!$A$88&gt;35,BD20+BC21-BL20,IF(A21&lt;'Données projet'!$A$88,$BA$205^A21,IF(A21='Données projet'!$A$88,'Données projet'!$B$88,BD20+BC21-BL20)))</f>
        <v>11.575168010312384</v>
      </c>
      <c r="BE21" s="13">
        <f>BD21*VLOOKUP('Données projet'!$B$11,Paramètres!$A$1:$I$89,3,0)*VLOOKUP('Données projet'!$B$11,Paramètres!$A$1:$I$89,5,0)</f>
        <v>11.195502499574138</v>
      </c>
      <c r="BF21" s="13">
        <f t="shared" si="37"/>
        <v>3.8948163288481799</v>
      </c>
      <c r="BG21" s="20">
        <f t="shared" si="7"/>
        <v>26.282305292835535</v>
      </c>
      <c r="BH21" s="59">
        <f t="shared" si="8"/>
        <v>319.61563862616885</v>
      </c>
      <c r="BI21" s="59">
        <f ca="1">AVERAGE(OFFSET($BH$3,0,0,'Données projet'!$E$11+1,1))-AVERAGE(OFFSET($H$3,0,0,'Données projet'!$E$11+1,1))</f>
        <v>131.02416800340484</v>
      </c>
      <c r="BJ21" s="59">
        <f t="shared" si="38"/>
        <v>79.394119001888555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1.2</v>
      </c>
      <c r="BY21" s="12">
        <f>IF('Données projet'!$A$114&gt;35,BY20+BX21-CG20,IF(A21&lt;'Données projet'!$A$114,$BV$205^A21,IF(A21='Données projet'!$A$114,'Données projet'!$B$114,BY20+BX21-CG20)))</f>
        <v>11.575168010312384</v>
      </c>
      <c r="BZ21" s="13">
        <f>BY21*VLOOKUP('Données projet'!$B$12,Paramètres!$A$1:$I$89,3,0)*VLOOKUP('Données projet'!$B$12,Paramètres!$A$1:$I$89,5,0)</f>
        <v>10.473212015730644</v>
      </c>
      <c r="CA21" s="13">
        <f t="shared" si="39"/>
        <v>3.6719322570811741</v>
      </c>
      <c r="CB21" s="20">
        <f t="shared" si="10"/>
        <v>24.636126275147248</v>
      </c>
      <c r="CC21" s="59">
        <f t="shared" si="11"/>
        <v>317.96945960848058</v>
      </c>
      <c r="CD21" s="59">
        <f ca="1">AVERAGE(OFFSET($CC$3,0,0,'Données projet'!$E$12+1,1))-AVERAGE(OFFSET($H$3,0,0,'Données projet'!$E$12+1,1))</f>
        <v>119.62076457560073</v>
      </c>
      <c r="CE21" s="59">
        <f t="shared" si="40"/>
        <v>72.011647893875363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1.2</v>
      </c>
      <c r="CT21" s="12">
        <f>IF('Données projet'!$A$140&gt;35,CT20+CS21-DB20,IF(A21&lt;'Données projet'!$A$140,$CQ$205^A21,IF(A21='Données projet'!$A$140,'Données projet'!$B$140,CT20+CS21-DB20)))</f>
        <v>11.575168010312384</v>
      </c>
      <c r="CU21" s="17">
        <f>CT21*VLOOKUP('Données projet'!$B$13,Paramètres!$A$1:$I$89,3,0)*VLOOKUP('Données projet'!$B$13,Paramètres!$A$1:$I$89,5,0)</f>
        <v>12.459510846300249</v>
      </c>
      <c r="CV21" s="13">
        <f t="shared" si="41"/>
        <v>4.2809163511957635</v>
      </c>
      <c r="CW21" s="20">
        <f t="shared" si="13"/>
        <v>29.156244035638881</v>
      </c>
      <c r="CX21" s="59">
        <f t="shared" si="14"/>
        <v>322.48957736897222</v>
      </c>
      <c r="CY21" s="59">
        <f ca="1">AVERAGE(OFFSET($CX$3,0,0,'Données projet'!$E$13+1,1))-AVERAGE(OFFSET($H$3,0,0,'Données projet'!$E$13+1,1))</f>
        <v>150.9416300233616</v>
      </c>
      <c r="CZ21" s="59">
        <f t="shared" si="42"/>
        <v>92.286636088269972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13</v>
      </c>
      <c r="DO21" s="12">
        <f>IF('Données projet'!$A$166&gt;35,DO20+DN21-DW20,IF(A21&lt;'Données projet'!$A$166,$DL$205^A21,IF(A21='Données projet'!$A$166,'Données projet'!$B$166,DO20+DN21-DW20)))</f>
        <v>96</v>
      </c>
      <c r="DP21" s="17">
        <f>DO21*VLOOKUP('Données projet'!$B$14,Paramètres!$A$1:$I$89,3,0)*VLOOKUP('Données projet'!$B$14,Paramètres!$A$1:$I$89,5,0)</f>
        <v>57.408000000000008</v>
      </c>
      <c r="DQ21" s="13">
        <f t="shared" si="43"/>
        <v>16.511255298579947</v>
      </c>
      <c r="DR21" s="20">
        <f t="shared" si="16"/>
        <v>128.74270297836009</v>
      </c>
      <c r="DS21" s="59">
        <f t="shared" si="17"/>
        <v>422.07603631169343</v>
      </c>
      <c r="DT21" s="59">
        <f ca="1">AVERAGE(OFFSET($DS$3,0,0,'Données projet'!$E$14+1,1))-AVERAGE(OFFSET($H$3,0,0,'Données projet'!$E$14+1,1))</f>
        <v>249.22792522076639</v>
      </c>
      <c r="DU21" s="59">
        <f t="shared" si="44"/>
        <v>244.53725944480669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28</v>
      </c>
      <c r="EJ21" s="12">
        <f>IF('Données projet'!$A$192&gt;35,EJ20+EI21-ER20,IF(A21&lt;'Données projet'!$A$192,$EG$205^A21,IF(A21='Données projet'!$A$192,'Données projet'!$B$192,EJ20+EI21-ER20)))</f>
        <v>177.00000000000003</v>
      </c>
      <c r="EK21" s="17">
        <f>EJ21*VLOOKUP('Données projet'!$B$15,Paramètres!$A$1:$I$89,3,0)*VLOOKUP('Données projet'!$B$15,Paramètres!$A$1:$I$89,5,0)</f>
        <v>98.943000000000026</v>
      </c>
      <c r="EL21" s="13">
        <f t="shared" si="45"/>
        <v>26.7100263508061</v>
      </c>
      <c r="EM21" s="20">
        <f t="shared" si="19"/>
        <v>218.84568756098733</v>
      </c>
      <c r="EN21" s="59">
        <f t="shared" si="20"/>
        <v>512.17902089432062</v>
      </c>
      <c r="EO21" s="59">
        <f ca="1">AVERAGE(OFFSET($EN$3,0,0,'Données projet'!$E$15+1,1))-AVERAGE(OFFSET($H$3,0,0,'Données projet'!$E$15+1,1))</f>
        <v>313.36787814924116</v>
      </c>
      <c r="EP21" s="59">
        <f t="shared" si="46"/>
        <v>438.72984487610216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9.2238349780619906</v>
      </c>
      <c r="EW21" s="21">
        <f>EXP(-LN(2)/25)*EW20+(1-EXP(-LN(2)/25))/(LN(2)/25)*Calculateur!ER21*Calculateur!ET21*VLOOKUP('Données projet'!$B$15,Paramètres!$A$1:$I$89,3,0)*0.475*44/12</f>
        <v>7.6259870530820884</v>
      </c>
      <c r="EX21" s="21">
        <f>EXP(-LN(2)/2)*EX20+(1-EXP(-LN(2)/2))/(LN(2)/2)*ER21*EU21*VLOOKUP('Données projet'!$B$15,Paramètres!$A$1:$I$89,3,0)*0.475*44/12</f>
        <v>3.4908159524300273</v>
      </c>
      <c r="EY21" s="22">
        <f t="shared" si="21"/>
        <v>20.340637983574105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1.2</v>
      </c>
      <c r="N22" s="13">
        <f>IF('Données projet'!$A$36&gt;35,N21+M22-V21,IF(A22&lt;'Données projet'!$A$36,$K$205^A22,IF(A22='Données projet'!$A$36,'Données projet'!$B$36,N21+M22-V21)))</f>
        <v>13.262095581124292</v>
      </c>
      <c r="O22" s="13">
        <f>N22*VLOOKUP('Données projet'!$B$9,Paramètres!$A$1:$I$89,3,0)*VLOOKUP('Données projet'!$B$9,Paramètres!$A$1:$I$89,5,0)</f>
        <v>11.999544081801259</v>
      </c>
      <c r="P22" s="13">
        <f t="shared" si="33"/>
        <v>4.1409695214196116</v>
      </c>
      <c r="Q22" s="20">
        <f t="shared" si="2"/>
        <v>28.111394525609683</v>
      </c>
      <c r="R22" s="59">
        <f t="shared" si="0"/>
        <v>321.444727858943</v>
      </c>
      <c r="S22" s="59">
        <f ca="1">AVERAGE(OFFSET($R$3,0,0,'Données projet'!$E$9+1,1))-AVERAGE(OFFSET($H$3,0,0,'Données projet'!$E$9+1,1))</f>
        <v>173.91998182168385</v>
      </c>
      <c r="T22" s="59">
        <f t="shared" si="34"/>
        <v>72.011647893875363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1.2</v>
      </c>
      <c r="AI22" s="13">
        <f>IF('Données projet'!$A$62&gt;35,AI21+AH22-AQ21,IF(A22&lt;'Données projet'!$A$62,$AF$205^A22,IF(A22='Données projet'!$A$62,'Données projet'!$B$62,AI21+AH22-AQ21)))</f>
        <v>13.262095581124292</v>
      </c>
      <c r="AJ22" s="13">
        <f>AI22*VLOOKUP('Données projet'!$B$10,Paramètres!$A$1:$I$89,3,0)*VLOOKUP('Données projet'!$B$10,Paramètres!$A$1:$I$89,5,0)</f>
        <v>14.275319683522188</v>
      </c>
      <c r="AK22" s="13">
        <f t="shared" si="35"/>
        <v>4.8277426959232219</v>
      </c>
      <c r="AL22" s="20">
        <f t="shared" si="4"/>
        <v>33.271166977534087</v>
      </c>
      <c r="AM22" s="59">
        <f t="shared" si="5"/>
        <v>326.60450031086742</v>
      </c>
      <c r="AN22" s="59">
        <f ca="1">AVERAGE(OFFSET($AM$3,0,0,'Données projet'!$E$10+1,1))-AVERAGE(OFFSET($H$3,0,0,'Données projet'!$E$10+1,1))</f>
        <v>150.9416300233616</v>
      </c>
      <c r="AO22" s="59">
        <f t="shared" si="36"/>
        <v>92.286636088269972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1.2</v>
      </c>
      <c r="BD22" s="12">
        <f>IF('Données projet'!$A$88&gt;35,BD21+BC22-BL21,IF(A22&lt;'Données projet'!$A$88,$BA$205^A22,IF(A22='Données projet'!$A$88,'Données projet'!$B$88,BD21+BC22-BL21)))</f>
        <v>13.262095581124292</v>
      </c>
      <c r="BE22" s="13">
        <f>BD22*VLOOKUP('Données projet'!$B$11,Paramètres!$A$1:$I$89,3,0)*VLOOKUP('Données projet'!$B$11,Paramètres!$A$1:$I$89,5,0)</f>
        <v>12.827098846063416</v>
      </c>
      <c r="BF22" s="13">
        <f t="shared" si="37"/>
        <v>4.3923238720390128</v>
      </c>
      <c r="BG22" s="20">
        <f t="shared" si="7"/>
        <v>29.990494567361733</v>
      </c>
      <c r="BH22" s="59">
        <f t="shared" si="8"/>
        <v>323.32382790069505</v>
      </c>
      <c r="BI22" s="59">
        <f ca="1">AVERAGE(OFFSET($BH$3,0,0,'Données projet'!$E$11+1,1))-AVERAGE(OFFSET($H$3,0,0,'Données projet'!$E$11+1,1))</f>
        <v>131.02416800340484</v>
      </c>
      <c r="BJ22" s="59">
        <f t="shared" si="38"/>
        <v>79.394119001888555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1.2</v>
      </c>
      <c r="BY22" s="12">
        <f>IF('Données projet'!$A$114&gt;35,BY21+BX22-CG21,IF(A22&lt;'Données projet'!$A$114,$BV$205^A22,IF(A22='Données projet'!$A$114,'Données projet'!$B$114,BY21+BX22-CG21)))</f>
        <v>13.262095581124292</v>
      </c>
      <c r="BZ22" s="13">
        <f>BY22*VLOOKUP('Données projet'!$B$12,Paramètres!$A$1:$I$89,3,0)*VLOOKUP('Données projet'!$B$12,Paramètres!$A$1:$I$89,5,0)</f>
        <v>11.999544081801259</v>
      </c>
      <c r="CA22" s="13">
        <f t="shared" si="39"/>
        <v>4.1409695214196116</v>
      </c>
      <c r="CB22" s="20">
        <f t="shared" si="10"/>
        <v>28.111394525609683</v>
      </c>
      <c r="CC22" s="59">
        <f t="shared" si="11"/>
        <v>321.444727858943</v>
      </c>
      <c r="CD22" s="59">
        <f ca="1">AVERAGE(OFFSET($CC$3,0,0,'Données projet'!$E$12+1,1))-AVERAGE(OFFSET($H$3,0,0,'Données projet'!$E$12+1,1))</f>
        <v>119.62076457560073</v>
      </c>
      <c r="CE22" s="59">
        <f t="shared" si="40"/>
        <v>72.011647893875363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1.2</v>
      </c>
      <c r="CT22" s="12">
        <f>IF('Données projet'!$A$140&gt;35,CT21+CS22-DB21,IF(A22&lt;'Données projet'!$A$140,$CQ$205^A22,IF(A22='Données projet'!$A$140,'Données projet'!$B$140,CT21+CS22-DB21)))</f>
        <v>13.262095581124292</v>
      </c>
      <c r="CU22" s="17">
        <f>CT22*VLOOKUP('Données projet'!$B$13,Paramètres!$A$1:$I$89,3,0)*VLOOKUP('Données projet'!$B$13,Paramètres!$A$1:$I$89,5,0)</f>
        <v>14.275319683522188</v>
      </c>
      <c r="CV22" s="13">
        <f t="shared" si="41"/>
        <v>4.8277426959232219</v>
      </c>
      <c r="CW22" s="20">
        <f t="shared" si="13"/>
        <v>33.271166977534087</v>
      </c>
      <c r="CX22" s="59">
        <f t="shared" si="14"/>
        <v>326.60450031086742</v>
      </c>
      <c r="CY22" s="59">
        <f ca="1">AVERAGE(OFFSET($CX$3,0,0,'Données projet'!$E$13+1,1))-AVERAGE(OFFSET($H$3,0,0,'Données projet'!$E$13+1,1))</f>
        <v>150.9416300233616</v>
      </c>
      <c r="CZ22" s="59">
        <f t="shared" si="42"/>
        <v>92.286636088269972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13</v>
      </c>
      <c r="DO22" s="12">
        <f>IF('Données projet'!$A$166&gt;35,DO21+DN22-DW21,IF(A22&lt;'Données projet'!$A$166,$DL$205^A22,IF(A22='Données projet'!$A$166,'Données projet'!$B$166,DO21+DN22-DW21)))</f>
        <v>109</v>
      </c>
      <c r="DP22" s="17">
        <f>DO22*VLOOKUP('Données projet'!$B$14,Paramètres!$A$1:$I$89,3,0)*VLOOKUP('Données projet'!$B$14,Paramètres!$A$1:$I$89,5,0)</f>
        <v>65.182000000000002</v>
      </c>
      <c r="DQ22" s="13">
        <f t="shared" si="43"/>
        <v>18.472058045906227</v>
      </c>
      <c r="DR22" s="20">
        <f t="shared" si="16"/>
        <v>145.69748442995333</v>
      </c>
      <c r="DS22" s="59">
        <f t="shared" si="17"/>
        <v>439.03081776328668</v>
      </c>
      <c r="DT22" s="59">
        <f ca="1">AVERAGE(OFFSET($DS$3,0,0,'Données projet'!$E$14+1,1))-AVERAGE(OFFSET($H$3,0,0,'Données projet'!$E$14+1,1))</f>
        <v>249.22792522076639</v>
      </c>
      <c r="DU22" s="59">
        <f t="shared" si="44"/>
        <v>244.53725944480669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28</v>
      </c>
      <c r="EJ22" s="12">
        <f>IF('Données projet'!$A$192&gt;35,EJ21+EI22-ER21,IF(A22&lt;'Données projet'!$A$192,$EG$205^A22,IF(A22='Données projet'!$A$192,'Données projet'!$B$192,EJ21+EI22-ER21)))</f>
        <v>205.00000000000003</v>
      </c>
      <c r="EK22" s="17">
        <f>EJ22*VLOOKUP('Données projet'!$B$15,Paramètres!$A$1:$I$89,3,0)*VLOOKUP('Données projet'!$B$15,Paramètres!$A$1:$I$89,5,0)</f>
        <v>114.59500000000001</v>
      </c>
      <c r="EL22" s="13">
        <f t="shared" si="45"/>
        <v>30.41101041484341</v>
      </c>
      <c r="EM22" s="20">
        <f t="shared" si="19"/>
        <v>252.55213480585226</v>
      </c>
      <c r="EN22" s="59">
        <f t="shared" si="20"/>
        <v>545.8854681391856</v>
      </c>
      <c r="EO22" s="59">
        <f ca="1">AVERAGE(OFFSET($EN$3,0,0,'Données projet'!$E$15+1,1))-AVERAGE(OFFSET($H$3,0,0,'Données projet'!$E$15+1,1))</f>
        <v>313.36787814924116</v>
      </c>
      <c r="EP22" s="59">
        <f t="shared" si="46"/>
        <v>438.72984487610216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9.0429612001260118</v>
      </c>
      <c r="EW22" s="21">
        <f>EXP(-LN(2)/25)*EW21+(1-EXP(-LN(2)/25))/(LN(2)/25)*Calculateur!ER22*Calculateur!ET22*VLOOKUP('Données projet'!$B$15,Paramètres!$A$1:$I$89,3,0)*0.475*44/12</f>
        <v>7.4174540360823293</v>
      </c>
      <c r="EX22" s="21">
        <f>EXP(-LN(2)/2)*EX21+(1-EXP(-LN(2)/2))/(LN(2)/2)*ER22*EU22*VLOOKUP('Données projet'!$B$15,Paramètres!$A$1:$I$89,3,0)*0.475*44/12</f>
        <v>2.4683796318374491</v>
      </c>
      <c r="EY22" s="22">
        <f t="shared" si="21"/>
        <v>18.928794868045792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1.2</v>
      </c>
      <c r="N23" s="13">
        <f>IF('Données projet'!$A$36&gt;35,N22+M23-V22,IF(A23&lt;'Données projet'!$A$36,$K$205^A23,IF(A23='Données projet'!$A$36,'Données projet'!$B$36,N22+M23-V22)))</f>
        <v>15.194870523363559</v>
      </c>
      <c r="O23" s="13">
        <f>N23*VLOOKUP('Données projet'!$B$9,Paramètres!$A$1:$I$89,3,0)*VLOOKUP('Données projet'!$B$9,Paramètres!$A$1:$I$89,5,0)</f>
        <v>13.748318849539347</v>
      </c>
      <c r="P23" s="13">
        <f t="shared" si="33"/>
        <v>4.6699196436038939</v>
      </c>
      <c r="Q23" s="20">
        <f t="shared" si="2"/>
        <v>32.078432042224485</v>
      </c>
      <c r="R23" s="59">
        <f t="shared" si="0"/>
        <v>325.41176537555782</v>
      </c>
      <c r="S23" s="59">
        <f ca="1">AVERAGE(OFFSET($R$3,0,0,'Données projet'!$E$9+1,1))-AVERAGE(OFFSET($H$3,0,0,'Données projet'!$E$9+1,1))</f>
        <v>173.91998182168385</v>
      </c>
      <c r="T23" s="59">
        <f t="shared" si="34"/>
        <v>72.011647893875363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1.2</v>
      </c>
      <c r="AI23" s="13">
        <f>IF('Données projet'!$A$62&gt;35,AI22+AH23-AQ22,IF(A23&lt;'Données projet'!$A$62,$AF$205^A23,IF(A23='Données projet'!$A$62,'Données projet'!$B$62,AI22+AH23-AQ22)))</f>
        <v>15.194870523363559</v>
      </c>
      <c r="AJ23" s="13">
        <f>AI23*VLOOKUP('Données projet'!$B$10,Paramètres!$A$1:$I$89,3,0)*VLOOKUP('Données projet'!$B$10,Paramètres!$A$1:$I$89,5,0)</f>
        <v>16.355758631348532</v>
      </c>
      <c r="AK23" s="13">
        <f t="shared" si="35"/>
        <v>5.4444183501809773</v>
      </c>
      <c r="AL23" s="20">
        <f t="shared" si="4"/>
        <v>37.968641576163897</v>
      </c>
      <c r="AM23" s="59">
        <f t="shared" si="5"/>
        <v>331.30197490949723</v>
      </c>
      <c r="AN23" s="59">
        <f ca="1">AVERAGE(OFFSET($AM$3,0,0,'Données projet'!$E$10+1,1))-AVERAGE(OFFSET($H$3,0,0,'Données projet'!$E$10+1,1))</f>
        <v>150.9416300233616</v>
      </c>
      <c r="AO23" s="59">
        <f t="shared" si="36"/>
        <v>92.286636088269972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1.2</v>
      </c>
      <c r="BD23" s="12">
        <f>IF('Données projet'!$A$88&gt;35,BD22+BC23-BL22,IF(A23&lt;'Données projet'!$A$88,$BA$205^A23,IF(A23='Données projet'!$A$88,'Données projet'!$B$88,BD22+BC23-BL22)))</f>
        <v>15.194870523363559</v>
      </c>
      <c r="BE23" s="13">
        <f>BD23*VLOOKUP('Données projet'!$B$11,Paramètres!$A$1:$I$89,3,0)*VLOOKUP('Données projet'!$B$11,Paramètres!$A$1:$I$89,5,0)</f>
        <v>14.696478770197235</v>
      </c>
      <c r="BF23" s="13">
        <f t="shared" si="37"/>
        <v>4.9533809473858224</v>
      </c>
      <c r="BG23" s="20">
        <f t="shared" si="7"/>
        <v>34.223505674790481</v>
      </c>
      <c r="BH23" s="59">
        <f t="shared" si="8"/>
        <v>327.5568390081238</v>
      </c>
      <c r="BI23" s="59">
        <f ca="1">AVERAGE(OFFSET($BH$3,0,0,'Données projet'!$E$11+1,1))-AVERAGE(OFFSET($H$3,0,0,'Données projet'!$E$11+1,1))</f>
        <v>131.02416800340484</v>
      </c>
      <c r="BJ23" s="59">
        <f t="shared" si="38"/>
        <v>79.394119001888555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1.2</v>
      </c>
      <c r="BY23" s="12">
        <f>IF('Données projet'!$A$114&gt;35,BY22+BX23-CG22,IF(A23&lt;'Données projet'!$A$114,$BV$205^A23,IF(A23='Données projet'!$A$114,'Données projet'!$B$114,BY22+BX23-CG22)))</f>
        <v>15.194870523363559</v>
      </c>
      <c r="BZ23" s="13">
        <f>BY23*VLOOKUP('Données projet'!$B$12,Paramètres!$A$1:$I$89,3,0)*VLOOKUP('Données projet'!$B$12,Paramètres!$A$1:$I$89,5,0)</f>
        <v>13.748318849539347</v>
      </c>
      <c r="CA23" s="13">
        <f t="shared" si="39"/>
        <v>4.6699196436038939</v>
      </c>
      <c r="CB23" s="20">
        <f t="shared" si="10"/>
        <v>32.078432042224485</v>
      </c>
      <c r="CC23" s="59">
        <f t="shared" si="11"/>
        <v>325.41176537555782</v>
      </c>
      <c r="CD23" s="59">
        <f ca="1">AVERAGE(OFFSET($CC$3,0,0,'Données projet'!$E$12+1,1))-AVERAGE(OFFSET($H$3,0,0,'Données projet'!$E$12+1,1))</f>
        <v>119.62076457560073</v>
      </c>
      <c r="CE23" s="59">
        <f t="shared" si="40"/>
        <v>72.011647893875363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1.2</v>
      </c>
      <c r="CT23" s="12">
        <f>IF('Données projet'!$A$140&gt;35,CT22+CS23-DB22,IF(A23&lt;'Données projet'!$A$140,$CQ$205^A23,IF(A23='Données projet'!$A$140,'Données projet'!$B$140,CT22+CS23-DB22)))</f>
        <v>15.194870523363559</v>
      </c>
      <c r="CU23" s="17">
        <f>CT23*VLOOKUP('Données projet'!$B$13,Paramètres!$A$1:$I$89,3,0)*VLOOKUP('Données projet'!$B$13,Paramètres!$A$1:$I$89,5,0)</f>
        <v>16.355758631348532</v>
      </c>
      <c r="CV23" s="13">
        <f t="shared" si="41"/>
        <v>5.4444183501809773</v>
      </c>
      <c r="CW23" s="20">
        <f t="shared" si="13"/>
        <v>37.968641576163897</v>
      </c>
      <c r="CX23" s="59">
        <f t="shared" si="14"/>
        <v>331.30197490949723</v>
      </c>
      <c r="CY23" s="59">
        <f ca="1">AVERAGE(OFFSET($CX$3,0,0,'Données projet'!$E$13+1,1))-AVERAGE(OFFSET($H$3,0,0,'Données projet'!$E$13+1,1))</f>
        <v>150.9416300233616</v>
      </c>
      <c r="CZ23" s="59">
        <f t="shared" si="42"/>
        <v>92.286636088269972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>
        <f>VLOOKUP(A23,'Données projet'!$A$165:$I$185,2,0)</f>
        <v>122</v>
      </c>
      <c r="DM23" s="12">
        <f>VLOOKUP(A23,'Données projet'!$A$165:$I$185,9,0)</f>
        <v>13</v>
      </c>
      <c r="DN23" s="12">
        <f t="array" ref="DN23">INDEX(DM:DM,MIN(IF(ISNUMBER(DM23:DM219),ROW(DM23:DM219),"")))</f>
        <v>13</v>
      </c>
      <c r="DO23" s="12">
        <f>IF('Données projet'!$A$166&gt;35,DO22+DN23-DW22,IF(A23&lt;'Données projet'!$A$166,$DL$205^A23,IF(A23='Données projet'!$A$166,'Données projet'!$B$166,DO22+DN23-DW22)))</f>
        <v>122</v>
      </c>
      <c r="DP23" s="17">
        <f>DO23*VLOOKUP('Données projet'!$B$14,Paramètres!$A$1:$I$89,3,0)*VLOOKUP('Données projet'!$B$14,Paramètres!$A$1:$I$89,5,0)</f>
        <v>72.956000000000003</v>
      </c>
      <c r="DQ23" s="13">
        <f t="shared" si="43"/>
        <v>20.405760140212273</v>
      </c>
      <c r="DR23" s="20">
        <f t="shared" si="16"/>
        <v>162.60506557753638</v>
      </c>
      <c r="DS23" s="59">
        <f t="shared" si="17"/>
        <v>455.93839891086969</v>
      </c>
      <c r="DT23" s="59">
        <f ca="1">AVERAGE(OFFSET($DS$3,0,0,'Données projet'!$E$14+1,1))-AVERAGE(OFFSET($H$3,0,0,'Données projet'!$E$14+1,1))</f>
        <v>249.22792522076639</v>
      </c>
      <c r="DU23" s="59">
        <f t="shared" si="44"/>
        <v>244.53725944480669</v>
      </c>
      <c r="DV23" s="15">
        <f>IF(ISNA(VLOOKUP(A23,'Données projet'!$A$165:$I$185,3,0)),0,VLOOKUP(A23,'Données projet'!$A$165:$I$185,3,0))</f>
        <v>2</v>
      </c>
      <c r="DW23" s="15">
        <f>IF(ISNA(VLOOKUP(A23,'Données projet'!$A$165:$I$185,4,0)),0,VLOOKUP(A23,'Données projet'!$A$165:$I$185,4,0))</f>
        <v>23</v>
      </c>
      <c r="DX23" s="16">
        <f>IF(ISNA(VLOOKUP(A23,'Données projet'!$A$165:$I$185,5,0)),0%,VLOOKUP(A23,'Données projet'!$A$165:$I$185,5,0)*VLOOKUP('Données projet'!$B$14,Paramètres!$A$1:$I$89,7,0))</f>
        <v>9.0000000000000011E-2</v>
      </c>
      <c r="DY23" s="16">
        <f>IF(ISNA(VLOOKUP(A23,'Données projet'!$A$165:$I$185,6,0)),0%,VLOOKUP(A23,'Données projet'!$A$165:$I$185,6,0)*VLOOKUP('Données projet'!$B$14,Paramètres!$A$1:$I$89,7,0))</f>
        <v>0.20250000000000001</v>
      </c>
      <c r="DZ23" s="16">
        <f>IF(ISNA(VLOOKUP(A23,'Données projet'!$A$165:$I$185,7,0)),0%,VLOOKUP(A23,'Données projet'!$A$165:$I$185,7,0))</f>
        <v>0.35</v>
      </c>
      <c r="EA23" s="21">
        <f>EXP(-LN(2)/35)*EA22+(1-EXP(-LN(2)/35))/(LN(2)/35)*DW23*DX23*VLOOKUP('Données projet'!$B$14,Paramètres!$A$1:$I$89,3,0)*0.475*44/12</f>
        <v>1.6421010768103894</v>
      </c>
      <c r="EB23" s="21">
        <f>EXP(-LN(2)/25)*EB22+(1-EXP(-LN(2)/25))/(LN(2)/25)*Calculateur!DW23*Calculateur!DY23*VLOOKUP('Données projet'!$B$14,Paramètres!$A$1:$I$89,3,0)*0.475*44/12</f>
        <v>3.6801798731582029</v>
      </c>
      <c r="EC23" s="21">
        <f>EXP(-LN(2)/2)*EC22+(1-EXP(-LN(2)/2))/(LN(2)/2)*DW23*DZ23*VLOOKUP('Données projet'!$B$14,Paramètres!$A$1:$I$89,3,0)*0.475*44/12</f>
        <v>5.4504530570626528</v>
      </c>
      <c r="ED23" s="22">
        <f t="shared" si="18"/>
        <v>10.772734007031245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>
        <f>VLOOKUP(A23,'Données projet'!$A$191:$I$211,2,0)</f>
        <v>233</v>
      </c>
      <c r="EH23" s="12">
        <f>VLOOKUP(A23,'Données projet'!$A$191:$I$211,9,0)</f>
        <v>28</v>
      </c>
      <c r="EI23" s="12">
        <f t="array" ref="EI23">INDEX(EH:EH,MIN(IF(ISNUMBER(EH23:EH219),ROW(EH23:EH219),"")))</f>
        <v>28</v>
      </c>
      <c r="EJ23" s="12">
        <f>IF('Données projet'!$A$192&gt;35,EJ22+EI23-ER22,IF(A23&lt;'Données projet'!$A$192,$EG$205^A23,IF(A23='Données projet'!$A$192,'Données projet'!$B$192,EJ22+EI23-ER22)))</f>
        <v>233.00000000000003</v>
      </c>
      <c r="EK23" s="17">
        <f>EJ23*VLOOKUP('Données projet'!$B$15,Paramètres!$A$1:$I$89,3,0)*VLOOKUP('Données projet'!$B$15,Paramètres!$A$1:$I$89,5,0)</f>
        <v>130.24700000000001</v>
      </c>
      <c r="EL23" s="13">
        <f t="shared" si="45"/>
        <v>34.053427473416782</v>
      </c>
      <c r="EM23" s="20">
        <f t="shared" si="19"/>
        <v>286.15657784953424</v>
      </c>
      <c r="EN23" s="59">
        <f t="shared" si="20"/>
        <v>579.48991118286756</v>
      </c>
      <c r="EO23" s="59">
        <f ca="1">AVERAGE(OFFSET($EN$3,0,0,'Données projet'!$E$15+1,1))-AVERAGE(OFFSET($H$3,0,0,'Données projet'!$E$15+1,1))</f>
        <v>313.36787814924116</v>
      </c>
      <c r="EP23" s="59">
        <f t="shared" si="46"/>
        <v>438.72984487610216</v>
      </c>
      <c r="EQ23" s="15">
        <f>IF(ISNA(VLOOKUP(A23,'Données projet'!$A$191:$I$211,3,0)),0,VLOOKUP(A23,'Données projet'!$A$191:$I$211,3,0))</f>
        <v>3</v>
      </c>
      <c r="ER23" s="15">
        <f>IF(ISNA(VLOOKUP(A23,'Données projet'!$A$191:$I$211,4,0)),0,VLOOKUP(A23,'Données projet'!$A$191:$I$211,4,0))</f>
        <v>84</v>
      </c>
      <c r="ES23" s="16">
        <f>IF(ISNA(VLOOKUP(A23,'Données projet'!$A$191:$I$211,5,0)),0%,VLOOKUP(A23,'Données projet'!$A$191:$I$211,5,0)*VLOOKUP('Données projet'!$B$15,Paramètres!$A$1:$I$89,7,0))</f>
        <v>0.22000000000000003</v>
      </c>
      <c r="ET23" s="16">
        <f>IF(ISNA(VLOOKUP(A23,'Données projet'!$A$191:$I$211,6,0)),0%,VLOOKUP(A23,'Données projet'!$A$191:$I$211,6,0)*VLOOKUP('Données projet'!$B$15,Paramètres!$A$1:$I$89,7,0))</f>
        <v>0.18700000000000003</v>
      </c>
      <c r="EU23" s="16">
        <f>IF(ISNA(VLOOKUP(A23,'Données projet'!$A$191:$I$211,7,0)),0%,VLOOKUP(A23,'Données projet'!$A$191:$I$211,7,0))</f>
        <v>0.26</v>
      </c>
      <c r="EV23" s="21">
        <f>EXP(-LN(2)/35)*EV22+(1-EXP(-LN(2)/35))/(LN(2)/35)*ER23*ES23*VLOOKUP('Données projet'!$B$15,Paramètres!$A$1:$I$89,3,0)*0.475*44/12</f>
        <v>22.569469571969439</v>
      </c>
      <c r="EW23" s="21">
        <f>EXP(-LN(2)/25)*EW22+(1-EXP(-LN(2)/25))/(LN(2)/25)*Calculateur!ER23*Calculateur!ET23*VLOOKUP('Données projet'!$B$15,Paramètres!$A$1:$I$89,3,0)*0.475*44/12</f>
        <v>18.81701975385803</v>
      </c>
      <c r="EX23" s="21">
        <f>EXP(-LN(2)/2)*EX22+(1-EXP(-LN(2)/2))/(LN(2)/2)*ER23*EU23*VLOOKUP('Données projet'!$B$15,Paramètres!$A$1:$I$89,3,0)*0.475*44/12</f>
        <v>15.568333914504723</v>
      </c>
      <c r="EY23" s="22">
        <f t="shared" si="21"/>
        <v>56.954823240332189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1.2</v>
      </c>
      <c r="N24" s="13">
        <f>IF('Données projet'!$A$36&gt;35,N23+M24-V23,IF(A24&lt;'Données projet'!$A$36,$K$205^A24,IF(A24='Données projet'!$A$36,'Données projet'!$B$36,N23+M24-V23)))</f>
        <v>17.409321838276906</v>
      </c>
      <c r="O24" s="13">
        <f>N24*VLOOKUP('Données projet'!$B$9,Paramètres!$A$1:$I$89,3,0)*VLOOKUP('Données projet'!$B$9,Paramètres!$A$1:$I$89,5,0)</f>
        <v>15.751954399272945</v>
      </c>
      <c r="P24" s="13">
        <f t="shared" si="33"/>
        <v>5.2664356414391653</v>
      </c>
      <c r="Q24" s="20">
        <f t="shared" si="2"/>
        <v>36.607029320906918</v>
      </c>
      <c r="R24" s="59">
        <f t="shared" si="0"/>
        <v>329.94036265424023</v>
      </c>
      <c r="S24" s="59">
        <f ca="1">AVERAGE(OFFSET($R$3,0,0,'Données projet'!$E$9+1,1))-AVERAGE(OFFSET($H$3,0,0,'Données projet'!$E$9+1,1))</f>
        <v>173.91998182168385</v>
      </c>
      <c r="T24" s="59">
        <f t="shared" si="34"/>
        <v>72.011647893875363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1.2</v>
      </c>
      <c r="AI24" s="13">
        <f>IF('Données projet'!$A$62&gt;35,AI23+AH24-AQ23,IF(A24&lt;'Données projet'!$A$62,$AF$205^A24,IF(A24='Données projet'!$A$62,'Données projet'!$B$62,AI23+AH24-AQ23)))</f>
        <v>17.409321838276906</v>
      </c>
      <c r="AJ24" s="13">
        <f>AI24*VLOOKUP('Données projet'!$B$10,Paramètres!$A$1:$I$89,3,0)*VLOOKUP('Données projet'!$B$10,Paramètres!$A$1:$I$89,5,0)</f>
        <v>18.739394026721261</v>
      </c>
      <c r="AK24" s="13">
        <f t="shared" si="35"/>
        <v>6.1398655725414359</v>
      </c>
      <c r="AL24" s="20">
        <f t="shared" si="4"/>
        <v>43.331377135382525</v>
      </c>
      <c r="AM24" s="59">
        <f t="shared" si="5"/>
        <v>336.66471046871584</v>
      </c>
      <c r="AN24" s="59">
        <f ca="1">AVERAGE(OFFSET($AM$3,0,0,'Données projet'!$E$10+1,1))-AVERAGE(OFFSET($H$3,0,0,'Données projet'!$E$10+1,1))</f>
        <v>150.9416300233616</v>
      </c>
      <c r="AO24" s="59">
        <f t="shared" si="36"/>
        <v>92.286636088269972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1.2</v>
      </c>
      <c r="BD24" s="12">
        <f>IF('Données projet'!$A$88&gt;35,BD23+BC24-BL23,IF(A24&lt;'Données projet'!$A$88,$BA$205^A24,IF(A24='Données projet'!$A$88,'Données projet'!$B$88,BD23+BC24-BL23)))</f>
        <v>17.409321838276906</v>
      </c>
      <c r="BE24" s="13">
        <f>BD24*VLOOKUP('Données projet'!$B$11,Paramètres!$A$1:$I$89,3,0)*VLOOKUP('Données projet'!$B$11,Paramètres!$A$1:$I$89,5,0)</f>
        <v>16.838296081981426</v>
      </c>
      <c r="BF24" s="13">
        <f t="shared" si="37"/>
        <v>5.5861051062554639</v>
      </c>
      <c r="BG24" s="20">
        <f t="shared" si="7"/>
        <v>39.055832069512576</v>
      </c>
      <c r="BH24" s="59">
        <f t="shared" si="8"/>
        <v>332.38916540284589</v>
      </c>
      <c r="BI24" s="59">
        <f ca="1">AVERAGE(OFFSET($BH$3,0,0,'Données projet'!$E$11+1,1))-AVERAGE(OFFSET($H$3,0,0,'Données projet'!$E$11+1,1))</f>
        <v>131.02416800340484</v>
      </c>
      <c r="BJ24" s="59">
        <f t="shared" si="38"/>
        <v>79.394119001888555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1.2</v>
      </c>
      <c r="BY24" s="12">
        <f>IF('Données projet'!$A$114&gt;35,BY23+BX24-CG23,IF(A24&lt;'Données projet'!$A$114,$BV$205^A24,IF(A24='Données projet'!$A$114,'Données projet'!$B$114,BY23+BX24-CG23)))</f>
        <v>17.409321838276906</v>
      </c>
      <c r="BZ24" s="13">
        <f>BY24*VLOOKUP('Données projet'!$B$12,Paramètres!$A$1:$I$89,3,0)*VLOOKUP('Données projet'!$B$12,Paramètres!$A$1:$I$89,5,0)</f>
        <v>15.751954399272945</v>
      </c>
      <c r="CA24" s="13">
        <f t="shared" si="39"/>
        <v>5.2664356414391653</v>
      </c>
      <c r="CB24" s="20">
        <f t="shared" si="10"/>
        <v>36.607029320906918</v>
      </c>
      <c r="CC24" s="59">
        <f t="shared" si="11"/>
        <v>329.94036265424023</v>
      </c>
      <c r="CD24" s="59">
        <f ca="1">AVERAGE(OFFSET($CC$3,0,0,'Données projet'!$E$12+1,1))-AVERAGE(OFFSET($H$3,0,0,'Données projet'!$E$12+1,1))</f>
        <v>119.62076457560073</v>
      </c>
      <c r="CE24" s="59">
        <f t="shared" si="40"/>
        <v>72.011647893875363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1.2</v>
      </c>
      <c r="CT24" s="12">
        <f>IF('Données projet'!$A$140&gt;35,CT23+CS24-DB23,IF(A24&lt;'Données projet'!$A$140,$CQ$205^A24,IF(A24='Données projet'!$A$140,'Données projet'!$B$140,CT23+CS24-DB23)))</f>
        <v>17.409321838276906</v>
      </c>
      <c r="CU24" s="17">
        <f>CT24*VLOOKUP('Données projet'!$B$13,Paramètres!$A$1:$I$89,3,0)*VLOOKUP('Données projet'!$B$13,Paramètres!$A$1:$I$89,5,0)</f>
        <v>18.739394026721261</v>
      </c>
      <c r="CV24" s="13">
        <f t="shared" si="41"/>
        <v>6.1398655725414359</v>
      </c>
      <c r="CW24" s="20">
        <f t="shared" si="13"/>
        <v>43.331377135382525</v>
      </c>
      <c r="CX24" s="59">
        <f t="shared" si="14"/>
        <v>336.66471046871584</v>
      </c>
      <c r="CY24" s="59">
        <f ca="1">AVERAGE(OFFSET($CX$3,0,0,'Données projet'!$E$13+1,1))-AVERAGE(OFFSET($H$3,0,0,'Données projet'!$E$13+1,1))</f>
        <v>150.9416300233616</v>
      </c>
      <c r="CZ24" s="59">
        <f t="shared" si="42"/>
        <v>92.286636088269972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15.4</v>
      </c>
      <c r="DO24" s="12">
        <f>IF('Données projet'!$A$166&gt;35,DO23+DN24-DW23,IF(A24&lt;'Données projet'!$A$166,$DL$205^A24,IF(A24='Données projet'!$A$166,'Données projet'!$B$166,DO23+DN24-DW23)))</f>
        <v>114.4</v>
      </c>
      <c r="DP24" s="17">
        <f>DO24*VLOOKUP('Données projet'!$B$14,Paramètres!$A$1:$I$89,3,0)*VLOOKUP('Données projet'!$B$14,Paramètres!$A$1:$I$89,5,0)</f>
        <v>68.411200000000008</v>
      </c>
      <c r="DQ24" s="13">
        <f t="shared" si="43"/>
        <v>19.278376882353381</v>
      </c>
      <c r="DR24" s="20">
        <f t="shared" si="16"/>
        <v>152.72601307009882</v>
      </c>
      <c r="DS24" s="59">
        <f t="shared" si="17"/>
        <v>446.05934640343213</v>
      </c>
      <c r="DT24" s="59">
        <f ca="1">AVERAGE(OFFSET($DS$3,0,0,'Données projet'!$E$14+1,1))-AVERAGE(OFFSET($H$3,0,0,'Données projet'!$E$14+1,1))</f>
        <v>249.22792522076639</v>
      </c>
      <c r="DU24" s="59">
        <f t="shared" si="44"/>
        <v>244.53725944480669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1.6099004762768965</v>
      </c>
      <c r="EB24" s="21">
        <f>EXP(-LN(2)/25)*EB23+(1-EXP(-LN(2)/25))/(LN(2)/25)*Calculateur!DW24*Calculateur!DY24*VLOOKUP('Données projet'!$B$14,Paramètres!$A$1:$I$89,3,0)*0.475*44/12</f>
        <v>3.5795451609944435</v>
      </c>
      <c r="EC24" s="21">
        <f>EXP(-LN(2)/2)*EC23+(1-EXP(-LN(2)/2))/(LN(2)/2)*DW24*DZ24*VLOOKUP('Données projet'!$B$14,Paramètres!$A$1:$I$89,3,0)*0.475*44/12</f>
        <v>3.8540523171879504</v>
      </c>
      <c r="ED24" s="22">
        <f t="shared" si="18"/>
        <v>9.0434979544592906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32</v>
      </c>
      <c r="EJ24" s="12">
        <f>IF('Données projet'!$A$192&gt;35,EJ23+EI24-ER23,IF(A24&lt;'Données projet'!$A$192,$EG$205^A24,IF(A24='Données projet'!$A$192,'Données projet'!$B$192,EJ23+EI24-ER23)))</f>
        <v>181</v>
      </c>
      <c r="EK24" s="17">
        <f>EJ24*VLOOKUP('Données projet'!$B$15,Paramètres!$A$1:$I$89,3,0)*VLOOKUP('Données projet'!$B$15,Paramètres!$A$1:$I$89,5,0)</f>
        <v>101.179</v>
      </c>
      <c r="EL24" s="13">
        <f t="shared" si="45"/>
        <v>27.242686146699036</v>
      </c>
      <c r="EM24" s="20">
        <f t="shared" si="19"/>
        <v>223.66777003883416</v>
      </c>
      <c r="EN24" s="59">
        <f t="shared" si="20"/>
        <v>517.00110337216745</v>
      </c>
      <c r="EO24" s="59">
        <f ca="1">AVERAGE(OFFSET($EN$3,0,0,'Données projet'!$E$15+1,1))-AVERAGE(OFFSET($H$3,0,0,'Données projet'!$E$15+1,1))</f>
        <v>313.36787814924116</v>
      </c>
      <c r="EP24" s="59">
        <f t="shared" si="46"/>
        <v>438.72984487610216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22.126896039680275</v>
      </c>
      <c r="EW24" s="21">
        <f>EXP(-LN(2)/25)*EW23+(1-EXP(-LN(2)/25))/(LN(2)/25)*Calculateur!ER24*Calculateur!ET24*VLOOKUP('Données projet'!$B$15,Paramètres!$A$1:$I$89,3,0)*0.475*44/12</f>
        <v>18.302467359144721</v>
      </c>
      <c r="EX24" s="21">
        <f>EXP(-LN(2)/2)*EX23+(1-EXP(-LN(2)/2))/(LN(2)/2)*ER24*EU24*VLOOKUP('Données projet'!$B$15,Paramètres!$A$1:$I$89,3,0)*0.475*44/12</f>
        <v>11.008474482722798</v>
      </c>
      <c r="EY24" s="22">
        <f t="shared" si="21"/>
        <v>51.437837881547793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1.2</v>
      </c>
      <c r="N25" s="13">
        <f>IF('Données projet'!$A$36&gt;35,N24+M25-V24,IF(A25&lt;'Données projet'!$A$36,$K$205^A25,IF(A25='Données projet'!$A$36,'Données projet'!$B$36,N24+M25-V24)))</f>
        <v>19.946500129940819</v>
      </c>
      <c r="O25" s="13">
        <f>N25*VLOOKUP('Données projet'!$B$9,Paramètres!$A$1:$I$89,3,0)*VLOOKUP('Données projet'!$B$9,Paramètres!$A$1:$I$89,5,0)</f>
        <v>18.047593317570453</v>
      </c>
      <c r="P25" s="13">
        <f t="shared" si="33"/>
        <v>5.9391480972072355</v>
      </c>
      <c r="Q25" s="20">
        <f t="shared" si="2"/>
        <v>41.776907964071142</v>
      </c>
      <c r="R25" s="59">
        <f t="shared" si="0"/>
        <v>335.11024129740446</v>
      </c>
      <c r="S25" s="59">
        <f ca="1">AVERAGE(OFFSET($R$3,0,0,'Données projet'!$E$9+1,1))-AVERAGE(OFFSET($H$3,0,0,'Données projet'!$E$9+1,1))</f>
        <v>173.91998182168385</v>
      </c>
      <c r="T25" s="59">
        <f t="shared" si="34"/>
        <v>72.011647893875363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1.2</v>
      </c>
      <c r="AI25" s="13">
        <f>IF('Données projet'!$A$62&gt;35,AI24+AH25-AQ24,IF(A25&lt;'Données projet'!$A$62,$AF$205^A25,IF(A25='Données projet'!$A$62,'Données projet'!$B$62,AI24+AH25-AQ24)))</f>
        <v>19.946500129940819</v>
      </c>
      <c r="AJ25" s="13">
        <f>AI25*VLOOKUP('Données projet'!$B$10,Paramètres!$A$1:$I$89,3,0)*VLOOKUP('Données projet'!$B$10,Paramètres!$A$1:$I$89,5,0)</f>
        <v>21.470412739868298</v>
      </c>
      <c r="AK25" s="13">
        <f t="shared" si="35"/>
        <v>6.9241463135591816</v>
      </c>
      <c r="AL25" s="20">
        <f t="shared" si="4"/>
        <v>49.453857018052851</v>
      </c>
      <c r="AM25" s="59">
        <f t="shared" si="5"/>
        <v>342.78719035138619</v>
      </c>
      <c r="AN25" s="59">
        <f ca="1">AVERAGE(OFFSET($AM$3,0,0,'Données projet'!$E$10+1,1))-AVERAGE(OFFSET($H$3,0,0,'Données projet'!$E$10+1,1))</f>
        <v>150.9416300233616</v>
      </c>
      <c r="AO25" s="59">
        <f t="shared" si="36"/>
        <v>92.286636088269972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1.2</v>
      </c>
      <c r="BD25" s="12">
        <f>IF('Données projet'!$A$88&gt;35,BD24+BC25-BL24,IF(A25&lt;'Données projet'!$A$88,$BA$205^A25,IF(A25='Données projet'!$A$88,'Données projet'!$B$88,BD24+BC25-BL24)))</f>
        <v>19.946500129940819</v>
      </c>
      <c r="BE25" s="13">
        <f>BD25*VLOOKUP('Données projet'!$B$11,Paramètres!$A$1:$I$89,3,0)*VLOOKUP('Données projet'!$B$11,Paramètres!$A$1:$I$89,5,0)</f>
        <v>19.292254925678762</v>
      </c>
      <c r="BF25" s="13">
        <f t="shared" si="37"/>
        <v>6.2996508020651527</v>
      </c>
      <c r="BG25" s="20">
        <f t="shared" si="7"/>
        <v>44.572569142487318</v>
      </c>
      <c r="BH25" s="59">
        <f t="shared" si="8"/>
        <v>337.90590247582065</v>
      </c>
      <c r="BI25" s="59">
        <f ca="1">AVERAGE(OFFSET($BH$3,0,0,'Données projet'!$E$11+1,1))-AVERAGE(OFFSET($H$3,0,0,'Données projet'!$E$11+1,1))</f>
        <v>131.02416800340484</v>
      </c>
      <c r="BJ25" s="59">
        <f t="shared" si="38"/>
        <v>79.394119001888555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1.2</v>
      </c>
      <c r="BY25" s="12">
        <f>IF('Données projet'!$A$114&gt;35,BY24+BX25-CG24,IF(A25&lt;'Données projet'!$A$114,$BV$205^A25,IF(A25='Données projet'!$A$114,'Données projet'!$B$114,BY24+BX25-CG24)))</f>
        <v>19.946500129940819</v>
      </c>
      <c r="BZ25" s="13">
        <f>BY25*VLOOKUP('Données projet'!$B$12,Paramètres!$A$1:$I$89,3,0)*VLOOKUP('Données projet'!$B$12,Paramètres!$A$1:$I$89,5,0)</f>
        <v>18.047593317570453</v>
      </c>
      <c r="CA25" s="13">
        <f t="shared" si="39"/>
        <v>5.9391480972072355</v>
      </c>
      <c r="CB25" s="20">
        <f t="shared" si="10"/>
        <v>41.776907964071142</v>
      </c>
      <c r="CC25" s="59">
        <f t="shared" si="11"/>
        <v>335.11024129740446</v>
      </c>
      <c r="CD25" s="59">
        <f ca="1">AVERAGE(OFFSET($CC$3,0,0,'Données projet'!$E$12+1,1))-AVERAGE(OFFSET($H$3,0,0,'Données projet'!$E$12+1,1))</f>
        <v>119.62076457560073</v>
      </c>
      <c r="CE25" s="59">
        <f t="shared" si="40"/>
        <v>72.011647893875363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1.2</v>
      </c>
      <c r="CT25" s="12">
        <f>IF('Données projet'!$A$140&gt;35,CT24+CS25-DB24,IF(A25&lt;'Données projet'!$A$140,$CQ$205^A25,IF(A25='Données projet'!$A$140,'Données projet'!$B$140,CT24+CS25-DB24)))</f>
        <v>19.946500129940819</v>
      </c>
      <c r="CU25" s="17">
        <f>CT25*VLOOKUP('Données projet'!$B$13,Paramètres!$A$1:$I$89,3,0)*VLOOKUP('Données projet'!$B$13,Paramètres!$A$1:$I$89,5,0)</f>
        <v>21.470412739868298</v>
      </c>
      <c r="CV25" s="13">
        <f t="shared" si="41"/>
        <v>6.9241463135591816</v>
      </c>
      <c r="CW25" s="20">
        <f t="shared" si="13"/>
        <v>49.453857018052851</v>
      </c>
      <c r="CX25" s="59">
        <f t="shared" si="14"/>
        <v>342.78719035138619</v>
      </c>
      <c r="CY25" s="59">
        <f ca="1">AVERAGE(OFFSET($CX$3,0,0,'Données projet'!$E$13+1,1))-AVERAGE(OFFSET($H$3,0,0,'Données projet'!$E$13+1,1))</f>
        <v>150.9416300233616</v>
      </c>
      <c r="CZ25" s="59">
        <f t="shared" si="42"/>
        <v>92.286636088269972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15.4</v>
      </c>
      <c r="DO25" s="12">
        <f>IF('Données projet'!$A$166&gt;35,DO24+DN25-DW24,IF(A25&lt;'Données projet'!$A$166,$DL$205^A25,IF(A25='Données projet'!$A$166,'Données projet'!$B$166,DO24+DN25-DW24)))</f>
        <v>129.80000000000001</v>
      </c>
      <c r="DP25" s="17">
        <f>DO25*VLOOKUP('Données projet'!$B$14,Paramètres!$A$1:$I$89,3,0)*VLOOKUP('Données projet'!$B$14,Paramètres!$A$1:$I$89,5,0)</f>
        <v>77.620400000000004</v>
      </c>
      <c r="DQ25" s="13">
        <f t="shared" si="43"/>
        <v>21.554340999058081</v>
      </c>
      <c r="DR25" s="20">
        <f t="shared" si="16"/>
        <v>172.72934057335951</v>
      </c>
      <c r="DS25" s="59">
        <f t="shared" si="17"/>
        <v>466.06267390669279</v>
      </c>
      <c r="DT25" s="59">
        <f ca="1">AVERAGE(OFFSET($DS$3,0,0,'Données projet'!$E$14+1,1))-AVERAGE(OFFSET($H$3,0,0,'Données projet'!$E$14+1,1))</f>
        <v>249.22792522076639</v>
      </c>
      <c r="DU25" s="59">
        <f t="shared" si="44"/>
        <v>244.53725944480669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1.5783313098794383</v>
      </c>
      <c r="EB25" s="21">
        <f>EXP(-LN(2)/25)*EB24+(1-EXP(-LN(2)/25))/(LN(2)/25)*Calculateur!DW25*Calculateur!DY25*VLOOKUP('Données projet'!$B$14,Paramètres!$A$1:$I$89,3,0)*0.475*44/12</f>
        <v>3.4816623103269517</v>
      </c>
      <c r="EC25" s="21">
        <f>EXP(-LN(2)/2)*EC24+(1-EXP(-LN(2)/2))/(LN(2)/2)*DW25*DZ25*VLOOKUP('Données projet'!$B$14,Paramètres!$A$1:$I$89,3,0)*0.475*44/12</f>
        <v>2.7252265285313269</v>
      </c>
      <c r="ED25" s="22">
        <f t="shared" si="18"/>
        <v>7.7852201487377162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32</v>
      </c>
      <c r="EJ25" s="12">
        <f>IF('Données projet'!$A$192&gt;35,EJ24+EI25-ER24,IF(A25&lt;'Données projet'!$A$192,$EG$205^A25,IF(A25='Données projet'!$A$192,'Données projet'!$B$192,EJ24+EI25-ER24)))</f>
        <v>213</v>
      </c>
      <c r="EK25" s="17">
        <f>EJ25*VLOOKUP('Données projet'!$B$15,Paramètres!$A$1:$I$89,3,0)*VLOOKUP('Données projet'!$B$15,Paramètres!$A$1:$I$89,5,0)</f>
        <v>119.06700000000001</v>
      </c>
      <c r="EL25" s="13">
        <f t="shared" si="45"/>
        <v>31.457293611419821</v>
      </c>
      <c r="EM25" s="20">
        <f t="shared" si="19"/>
        <v>262.16314470655618</v>
      </c>
      <c r="EN25" s="59">
        <f t="shared" si="20"/>
        <v>555.49647803988955</v>
      </c>
      <c r="EO25" s="59">
        <f ca="1">AVERAGE(OFFSET($EN$3,0,0,'Données projet'!$E$15+1,1))-AVERAGE(OFFSET($H$3,0,0,'Données projet'!$E$15+1,1))</f>
        <v>313.36787814924116</v>
      </c>
      <c r="EP25" s="59">
        <f t="shared" si="46"/>
        <v>438.72984487610216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21.693001104416101</v>
      </c>
      <c r="EW25" s="21">
        <f>EXP(-LN(2)/25)*EW24+(1-EXP(-LN(2)/25))/(LN(2)/25)*Calculateur!ER25*Calculateur!ET25*VLOOKUP('Données projet'!$B$15,Paramètres!$A$1:$I$89,3,0)*0.475*44/12</f>
        <v>17.801985426723981</v>
      </c>
      <c r="EX25" s="21">
        <f>EXP(-LN(2)/2)*EX24+(1-EXP(-LN(2)/2))/(LN(2)/2)*ER25*EU25*VLOOKUP('Données projet'!$B$15,Paramètres!$A$1:$I$89,3,0)*0.475*44/12</f>
        <v>7.7841669572523626</v>
      </c>
      <c r="EY25" s="22">
        <f t="shared" si="21"/>
        <v>47.279153488392446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1.2</v>
      </c>
      <c r="N26" s="13">
        <f>IF('Données projet'!$A$36&gt;35,N25+M26-V25,IF(A26&lt;'Données projet'!$A$36,$K$205^A26,IF(A26='Données projet'!$A$36,'Données projet'!$B$36,N25+M26-V25)))</f>
        <v>22.853438584779923</v>
      </c>
      <c r="O26" s="13">
        <f>N26*VLOOKUP('Données projet'!$B$9,Paramètres!$A$1:$I$89,3,0)*VLOOKUP('Données projet'!$B$9,Paramètres!$A$1:$I$89,5,0)</f>
        <v>20.677791231508873</v>
      </c>
      <c r="P26" s="13">
        <f t="shared" si="33"/>
        <v>6.6977900276630162</v>
      </c>
      <c r="Q26" s="20">
        <f t="shared" si="2"/>
        <v>47.679137359724372</v>
      </c>
      <c r="R26" s="59">
        <f t="shared" si="0"/>
        <v>341.01247069305771</v>
      </c>
      <c r="S26" s="59">
        <f ca="1">AVERAGE(OFFSET($R$3,0,0,'Données projet'!$E$9+1,1))-AVERAGE(OFFSET($H$3,0,0,'Données projet'!$E$9+1,1))</f>
        <v>173.91998182168385</v>
      </c>
      <c r="T26" s="59">
        <f t="shared" si="34"/>
        <v>72.011647893875363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1.2</v>
      </c>
      <c r="AI26" s="13">
        <f>IF('Données projet'!$A$62&gt;35,AI25+AH26-AQ25,IF(A26&lt;'Données projet'!$A$62,$AF$205^A26,IF(A26='Données projet'!$A$62,'Données projet'!$B$62,AI25+AH26-AQ25)))</f>
        <v>22.853438584779923</v>
      </c>
      <c r="AJ26" s="13">
        <f>AI26*VLOOKUP('Données projet'!$B$10,Paramètres!$A$1:$I$89,3,0)*VLOOKUP('Données projet'!$B$10,Paramètres!$A$1:$I$89,5,0)</f>
        <v>24.599441292657108</v>
      </c>
      <c r="AK26" s="13">
        <f t="shared" si="35"/>
        <v>7.808607795256683</v>
      </c>
      <c r="AL26" s="20">
        <f t="shared" si="4"/>
        <v>56.444018828116505</v>
      </c>
      <c r="AM26" s="59">
        <f t="shared" si="5"/>
        <v>349.77735216144981</v>
      </c>
      <c r="AN26" s="59">
        <f ca="1">AVERAGE(OFFSET($AM$3,0,0,'Données projet'!$E$10+1,1))-AVERAGE(OFFSET($H$3,0,0,'Données projet'!$E$10+1,1))</f>
        <v>150.9416300233616</v>
      </c>
      <c r="AO26" s="59">
        <f t="shared" si="36"/>
        <v>92.286636088269972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1.2</v>
      </c>
      <c r="BD26" s="12">
        <f>IF('Données projet'!$A$88&gt;35,BD25+BC26-BL25,IF(A26&lt;'Données projet'!$A$88,$BA$205^A26,IF(A26='Données projet'!$A$88,'Données projet'!$B$88,BD25+BC26-BL25)))</f>
        <v>22.853438584779923</v>
      </c>
      <c r="BE26" s="13">
        <f>BD26*VLOOKUP('Données projet'!$B$11,Paramètres!$A$1:$I$89,3,0)*VLOOKUP('Données projet'!$B$11,Paramètres!$A$1:$I$89,5,0)</f>
        <v>22.103845799199142</v>
      </c>
      <c r="BF26" s="13">
        <f t="shared" si="37"/>
        <v>7.1043418398123555</v>
      </c>
      <c r="BG26" s="20">
        <f t="shared" si="7"/>
        <v>50.870926804611692</v>
      </c>
      <c r="BH26" s="59">
        <f t="shared" si="8"/>
        <v>344.20426013794503</v>
      </c>
      <c r="BI26" s="59">
        <f ca="1">AVERAGE(OFFSET($BH$3,0,0,'Données projet'!$E$11+1,1))-AVERAGE(OFFSET($H$3,0,0,'Données projet'!$E$11+1,1))</f>
        <v>131.02416800340484</v>
      </c>
      <c r="BJ26" s="59">
        <f t="shared" si="38"/>
        <v>79.394119001888555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1.2</v>
      </c>
      <c r="BY26" s="12">
        <f>IF('Données projet'!$A$114&gt;35,BY25+BX26-CG25,IF(A26&lt;'Données projet'!$A$114,$BV$205^A26,IF(A26='Données projet'!$A$114,'Données projet'!$B$114,BY25+BX26-CG25)))</f>
        <v>22.853438584779923</v>
      </c>
      <c r="BZ26" s="13">
        <f>BY26*VLOOKUP('Données projet'!$B$12,Paramètres!$A$1:$I$89,3,0)*VLOOKUP('Données projet'!$B$12,Paramètres!$A$1:$I$89,5,0)</f>
        <v>20.677791231508873</v>
      </c>
      <c r="CA26" s="13">
        <f t="shared" si="39"/>
        <v>6.6977900276630162</v>
      </c>
      <c r="CB26" s="20">
        <f t="shared" si="10"/>
        <v>47.679137359724372</v>
      </c>
      <c r="CC26" s="59">
        <f t="shared" si="11"/>
        <v>341.01247069305771</v>
      </c>
      <c r="CD26" s="59">
        <f ca="1">AVERAGE(OFFSET($CC$3,0,0,'Données projet'!$E$12+1,1))-AVERAGE(OFFSET($H$3,0,0,'Données projet'!$E$12+1,1))</f>
        <v>119.62076457560073</v>
      </c>
      <c r="CE26" s="59">
        <f t="shared" si="40"/>
        <v>72.011647893875363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1.2</v>
      </c>
      <c r="CT26" s="12">
        <f>IF('Données projet'!$A$140&gt;35,CT25+CS26-DB25,IF(A26&lt;'Données projet'!$A$140,$CQ$205^A26,IF(A26='Données projet'!$A$140,'Données projet'!$B$140,CT25+CS26-DB25)))</f>
        <v>22.853438584779923</v>
      </c>
      <c r="CU26" s="17">
        <f>CT26*VLOOKUP('Données projet'!$B$13,Paramètres!$A$1:$I$89,3,0)*VLOOKUP('Données projet'!$B$13,Paramètres!$A$1:$I$89,5,0)</f>
        <v>24.599441292657108</v>
      </c>
      <c r="CV26" s="13">
        <f t="shared" si="41"/>
        <v>7.808607795256683</v>
      </c>
      <c r="CW26" s="20">
        <f t="shared" si="13"/>
        <v>56.444018828116505</v>
      </c>
      <c r="CX26" s="59">
        <f t="shared" si="14"/>
        <v>349.77735216144981</v>
      </c>
      <c r="CY26" s="59">
        <f ca="1">AVERAGE(OFFSET($CX$3,0,0,'Données projet'!$E$13+1,1))-AVERAGE(OFFSET($H$3,0,0,'Données projet'!$E$13+1,1))</f>
        <v>150.9416300233616</v>
      </c>
      <c r="CZ26" s="59">
        <f t="shared" si="42"/>
        <v>92.286636088269972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15.4</v>
      </c>
      <c r="DO26" s="12">
        <f>IF('Données projet'!$A$166&gt;35,DO25+DN26-DW25,IF(A26&lt;'Données projet'!$A$166,$DL$205^A26,IF(A26='Données projet'!$A$166,'Données projet'!$B$166,DO25+DN26-DW25)))</f>
        <v>145.20000000000002</v>
      </c>
      <c r="DP26" s="17">
        <f>DO26*VLOOKUP('Données projet'!$B$14,Paramètres!$A$1:$I$89,3,0)*VLOOKUP('Données projet'!$B$14,Paramètres!$A$1:$I$89,5,0)</f>
        <v>86.829600000000028</v>
      </c>
      <c r="DQ26" s="13">
        <f t="shared" si="43"/>
        <v>23.799012289012015</v>
      </c>
      <c r="DR26" s="20">
        <f t="shared" si="16"/>
        <v>192.67816640336261</v>
      </c>
      <c r="DS26" s="59">
        <f t="shared" si="17"/>
        <v>486.0114997366959</v>
      </c>
      <c r="DT26" s="59">
        <f ca="1">AVERAGE(OFFSET($DS$3,0,0,'Données projet'!$E$14+1,1))-AVERAGE(OFFSET($H$3,0,0,'Données projet'!$E$14+1,1))</f>
        <v>249.22792522076639</v>
      </c>
      <c r="DU26" s="59">
        <f t="shared" si="44"/>
        <v>244.53725944480669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1.5473811955797441</v>
      </c>
      <c r="EB26" s="21">
        <f>EXP(-LN(2)/25)*EB25+(1-EXP(-LN(2)/25))/(LN(2)/25)*Calculateur!DW26*Calculateur!DY26*VLOOKUP('Données projet'!$B$14,Paramètres!$A$1:$I$89,3,0)*0.475*44/12</f>
        <v>3.3864560713583978</v>
      </c>
      <c r="EC26" s="21">
        <f>EXP(-LN(2)/2)*EC25+(1-EXP(-LN(2)/2))/(LN(2)/2)*DW26*DZ26*VLOOKUP('Données projet'!$B$14,Paramètres!$A$1:$I$89,3,0)*0.475*44/12</f>
        <v>1.9270261585939756</v>
      </c>
      <c r="ED26" s="22">
        <f t="shared" si="18"/>
        <v>6.8608634255321173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32</v>
      </c>
      <c r="EJ26" s="12">
        <f>IF('Données projet'!$A$192&gt;35,EJ25+EI26-ER25,IF(A26&lt;'Données projet'!$A$192,$EG$205^A26,IF(A26='Données projet'!$A$192,'Données projet'!$B$192,EJ25+EI26-ER25)))</f>
        <v>245</v>
      </c>
      <c r="EK26" s="17">
        <f>EJ26*VLOOKUP('Données projet'!$B$15,Paramètres!$A$1:$I$89,3,0)*VLOOKUP('Données projet'!$B$15,Paramètres!$A$1:$I$89,5,0)</f>
        <v>136.95499999999998</v>
      </c>
      <c r="EL26" s="13">
        <f t="shared" si="45"/>
        <v>35.598548509031183</v>
      </c>
      <c r="EM26" s="20">
        <f t="shared" si="19"/>
        <v>300.53076365322926</v>
      </c>
      <c r="EN26" s="59">
        <f t="shared" si="20"/>
        <v>593.86409698656257</v>
      </c>
      <c r="EO26" s="59">
        <f ca="1">AVERAGE(OFFSET($EN$3,0,0,'Données projet'!$E$15+1,1))-AVERAGE(OFFSET($H$3,0,0,'Données projet'!$E$15+1,1))</f>
        <v>313.36787814924116</v>
      </c>
      <c r="EP26" s="59">
        <f t="shared" si="46"/>
        <v>438.72984487610216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21.267614584182681</v>
      </c>
      <c r="EW26" s="21">
        <f>EXP(-LN(2)/25)*EW25+(1-EXP(-LN(2)/25))/(LN(2)/25)*Calculateur!ER26*Calculateur!ET26*VLOOKUP('Données projet'!$B$15,Paramètres!$A$1:$I$89,3,0)*0.475*44/12</f>
        <v>17.315189199064488</v>
      </c>
      <c r="EX26" s="21">
        <f>EXP(-LN(2)/2)*EX25+(1-EXP(-LN(2)/2))/(LN(2)/2)*ER26*EU26*VLOOKUP('Données projet'!$B$15,Paramètres!$A$1:$I$89,3,0)*0.475*44/12</f>
        <v>5.5042372413614</v>
      </c>
      <c r="EY26" s="22">
        <f t="shared" si="21"/>
        <v>44.087041024608574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1.2</v>
      </c>
      <c r="N27" s="13">
        <f>IF('Données projet'!$A$36&gt;35,N26+M27-V26,IF(A27&lt;'Données projet'!$A$36,$K$205^A27,IF(A27='Données projet'!$A$36,'Données projet'!$B$36,N26+M27-V26)))</f>
        <v>26.184024853780567</v>
      </c>
      <c r="O27" s="13">
        <f>N27*VLOOKUP('Données projet'!$B$9,Paramètres!$A$1:$I$89,3,0)*VLOOKUP('Données projet'!$B$9,Paramètres!$A$1:$I$89,5,0)</f>
        <v>23.691305687700655</v>
      </c>
      <c r="P27" s="13">
        <f t="shared" si="33"/>
        <v>7.5533377044018843</v>
      </c>
      <c r="Q27" s="20">
        <f t="shared" si="2"/>
        <v>54.417753907911923</v>
      </c>
      <c r="R27" s="59">
        <f t="shared" si="0"/>
        <v>347.75108724124522</v>
      </c>
      <c r="S27" s="59">
        <f ca="1">AVERAGE(OFFSET($R$3,0,0,'Données projet'!$E$9+1,1))-AVERAGE(OFFSET($H$3,0,0,'Données projet'!$E$9+1,1))</f>
        <v>173.91998182168385</v>
      </c>
      <c r="T27" s="59">
        <f t="shared" si="34"/>
        <v>72.011647893875363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1.2</v>
      </c>
      <c r="AI27" s="13">
        <f>IF('Données projet'!$A$62&gt;35,AI26+AH27-AQ26,IF(A27&lt;'Données projet'!$A$62,$AF$205^A27,IF(A27='Données projet'!$A$62,'Données projet'!$B$62,AI26+AH27-AQ26)))</f>
        <v>26.184024853780567</v>
      </c>
      <c r="AJ27" s="13">
        <f>AI27*VLOOKUP('Données projet'!$B$10,Paramètres!$A$1:$I$89,3,0)*VLOOKUP('Données projet'!$B$10,Paramètres!$A$1:$I$89,5,0)</f>
        <v>28.184484352609399</v>
      </c>
      <c r="AK27" s="13">
        <f t="shared" si="35"/>
        <v>8.8060466863244411</v>
      </c>
      <c r="AL27" s="20">
        <f t="shared" si="4"/>
        <v>64.425174892809764</v>
      </c>
      <c r="AM27" s="59">
        <f t="shared" si="5"/>
        <v>357.75850822614308</v>
      </c>
      <c r="AN27" s="59">
        <f ca="1">AVERAGE(OFFSET($AM$3,0,0,'Données projet'!$E$10+1,1))-AVERAGE(OFFSET($H$3,0,0,'Données projet'!$E$10+1,1))</f>
        <v>150.9416300233616</v>
      </c>
      <c r="AO27" s="59">
        <f t="shared" si="36"/>
        <v>92.286636088269972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1.2</v>
      </c>
      <c r="BD27" s="12">
        <f>IF('Données projet'!$A$88&gt;35,BD26+BC27-BL26,IF(A27&lt;'Données projet'!$A$88,$BA$205^A27,IF(A27='Données projet'!$A$88,'Données projet'!$B$88,BD26+BC27-BL26)))</f>
        <v>26.184024853780567</v>
      </c>
      <c r="BE27" s="13">
        <f>BD27*VLOOKUP('Données projet'!$B$11,Paramètres!$A$1:$I$89,3,0)*VLOOKUP('Données projet'!$B$11,Paramètres!$A$1:$I$89,5,0)</f>
        <v>25.325188838576565</v>
      </c>
      <c r="BF27" s="13">
        <f t="shared" si="37"/>
        <v>8.0118207441534324</v>
      </c>
      <c r="BG27" s="20">
        <f t="shared" si="7"/>
        <v>58.061958356588072</v>
      </c>
      <c r="BH27" s="59">
        <f t="shared" si="8"/>
        <v>351.39529168992141</v>
      </c>
      <c r="BI27" s="59">
        <f ca="1">AVERAGE(OFFSET($BH$3,0,0,'Données projet'!$E$11+1,1))-AVERAGE(OFFSET($H$3,0,0,'Données projet'!$E$11+1,1))</f>
        <v>131.02416800340484</v>
      </c>
      <c r="BJ27" s="59">
        <f t="shared" si="38"/>
        <v>79.394119001888555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1.2</v>
      </c>
      <c r="BY27" s="12">
        <f>IF('Données projet'!$A$114&gt;35,BY26+BX27-CG26,IF(A27&lt;'Données projet'!$A$114,$BV$205^A27,IF(A27='Données projet'!$A$114,'Données projet'!$B$114,BY26+BX27-CG26)))</f>
        <v>26.184024853780567</v>
      </c>
      <c r="BZ27" s="13">
        <f>BY27*VLOOKUP('Données projet'!$B$12,Paramètres!$A$1:$I$89,3,0)*VLOOKUP('Données projet'!$B$12,Paramètres!$A$1:$I$89,5,0)</f>
        <v>23.691305687700655</v>
      </c>
      <c r="CA27" s="13">
        <f t="shared" si="39"/>
        <v>7.5533377044018843</v>
      </c>
      <c r="CB27" s="20">
        <f t="shared" si="10"/>
        <v>54.417753907911923</v>
      </c>
      <c r="CC27" s="59">
        <f t="shared" si="11"/>
        <v>347.75108724124522</v>
      </c>
      <c r="CD27" s="59">
        <f ca="1">AVERAGE(OFFSET($CC$3,0,0,'Données projet'!$E$12+1,1))-AVERAGE(OFFSET($H$3,0,0,'Données projet'!$E$12+1,1))</f>
        <v>119.62076457560073</v>
      </c>
      <c r="CE27" s="59">
        <f t="shared" si="40"/>
        <v>72.011647893875363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1.2</v>
      </c>
      <c r="CT27" s="12">
        <f>IF('Données projet'!$A$140&gt;35,CT26+CS27-DB26,IF(A27&lt;'Données projet'!$A$140,$CQ$205^A27,IF(A27='Données projet'!$A$140,'Données projet'!$B$140,CT26+CS27-DB26)))</f>
        <v>26.184024853780567</v>
      </c>
      <c r="CU27" s="17">
        <f>CT27*VLOOKUP('Données projet'!$B$13,Paramètres!$A$1:$I$89,3,0)*VLOOKUP('Données projet'!$B$13,Paramètres!$A$1:$I$89,5,0)</f>
        <v>28.184484352609399</v>
      </c>
      <c r="CV27" s="13">
        <f t="shared" si="41"/>
        <v>8.8060466863244411</v>
      </c>
      <c r="CW27" s="20">
        <f t="shared" si="13"/>
        <v>64.425174892809764</v>
      </c>
      <c r="CX27" s="59">
        <f t="shared" si="14"/>
        <v>357.75850822614308</v>
      </c>
      <c r="CY27" s="59">
        <f ca="1">AVERAGE(OFFSET($CX$3,0,0,'Données projet'!$E$13+1,1))-AVERAGE(OFFSET($H$3,0,0,'Données projet'!$E$13+1,1))</f>
        <v>150.9416300233616</v>
      </c>
      <c r="CZ27" s="59">
        <f t="shared" si="42"/>
        <v>92.286636088269972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15.4</v>
      </c>
      <c r="DO27" s="12">
        <f>IF('Données projet'!$A$166&gt;35,DO26+DN27-DW26,IF(A27&lt;'Données projet'!$A$166,$DL$205^A27,IF(A27='Données projet'!$A$166,'Données projet'!$B$166,DO26+DN27-DW26)))</f>
        <v>160.60000000000002</v>
      </c>
      <c r="DP27" s="17">
        <f>DO27*VLOOKUP('Données projet'!$B$14,Paramètres!$A$1:$I$89,3,0)*VLOOKUP('Données projet'!$B$14,Paramètres!$A$1:$I$89,5,0)</f>
        <v>96.038800000000023</v>
      </c>
      <c r="DQ27" s="13">
        <f t="shared" si="43"/>
        <v>26.016087885665684</v>
      </c>
      <c r="DR27" s="20">
        <f t="shared" si="16"/>
        <v>212.5789297342011</v>
      </c>
      <c r="DS27" s="59">
        <f t="shared" si="17"/>
        <v>505.91226306753441</v>
      </c>
      <c r="DT27" s="59">
        <f ca="1">AVERAGE(OFFSET($DS$3,0,0,'Données projet'!$E$14+1,1))-AVERAGE(OFFSET($H$3,0,0,'Données projet'!$E$14+1,1))</f>
        <v>249.22792522076639</v>
      </c>
      <c r="DU27" s="59">
        <f t="shared" si="44"/>
        <v>244.53725944480669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1.5170379941437611</v>
      </c>
      <c r="EB27" s="21">
        <f>EXP(-LN(2)/25)*EB26+(1-EXP(-LN(2)/25))/(LN(2)/25)*Calculateur!DW27*Calculateur!DY27*VLOOKUP('Données projet'!$B$14,Paramètres!$A$1:$I$89,3,0)*0.475*44/12</f>
        <v>3.2938532520011172</v>
      </c>
      <c r="EC27" s="21">
        <f>EXP(-LN(2)/2)*EC26+(1-EXP(-LN(2)/2))/(LN(2)/2)*DW27*DZ27*VLOOKUP('Données projet'!$B$14,Paramètres!$A$1:$I$89,3,0)*0.475*44/12</f>
        <v>1.3626132642656636</v>
      </c>
      <c r="ED27" s="22">
        <f t="shared" si="18"/>
        <v>6.1735045104105417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32</v>
      </c>
      <c r="EJ27" s="12">
        <f>IF('Données projet'!$A$192&gt;35,EJ26+EI27-ER26,IF(A27&lt;'Données projet'!$A$192,$EG$205^A27,IF(A27='Données projet'!$A$192,'Données projet'!$B$192,EJ26+EI27-ER26)))</f>
        <v>277</v>
      </c>
      <c r="EK27" s="17">
        <f>EJ27*VLOOKUP('Données projet'!$B$15,Paramètres!$A$1:$I$89,3,0)*VLOOKUP('Données projet'!$B$15,Paramètres!$A$1:$I$89,5,0)</f>
        <v>154.84300000000002</v>
      </c>
      <c r="EL27" s="13">
        <f t="shared" si="45"/>
        <v>39.677131081859002</v>
      </c>
      <c r="EM27" s="20">
        <f t="shared" si="19"/>
        <v>338.78922830090443</v>
      </c>
      <c r="EN27" s="59">
        <f t="shared" si="20"/>
        <v>632.12256163423774</v>
      </c>
      <c r="EO27" s="59">
        <f ca="1">AVERAGE(OFFSET($EN$3,0,0,'Données projet'!$E$15+1,1))-AVERAGE(OFFSET($H$3,0,0,'Données projet'!$E$15+1,1))</f>
        <v>313.36787814924116</v>
      </c>
      <c r="EP27" s="59">
        <f t="shared" si="46"/>
        <v>438.72984487610216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20.850569634150879</v>
      </c>
      <c r="EW27" s="21">
        <f>EXP(-LN(2)/25)*EW26+(1-EXP(-LN(2)/25))/(LN(2)/25)*Calculateur!ER27*Calculateur!ET27*VLOOKUP('Données projet'!$B$15,Paramètres!$A$1:$I$89,3,0)*0.475*44/12</f>
        <v>16.841704439849845</v>
      </c>
      <c r="EX27" s="21">
        <f>EXP(-LN(2)/2)*EX26+(1-EXP(-LN(2)/2))/(LN(2)/2)*ER27*EU27*VLOOKUP('Données projet'!$B$15,Paramètres!$A$1:$I$89,3,0)*0.475*44/12</f>
        <v>3.8920834786261818</v>
      </c>
      <c r="EY27" s="22">
        <f t="shared" si="21"/>
        <v>41.584357552626905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30</v>
      </c>
      <c r="L28" s="12">
        <f>VLOOKUP(A28,'Données projet'!$A$35:$I$55,9,0)</f>
        <v>1.2</v>
      </c>
      <c r="M28" s="12">
        <f t="array" ref="M28">INDEX(L:L,MIN(IF(ISNUMBER(L28:L224),ROW(L28:L224),"")))</f>
        <v>1.2</v>
      </c>
      <c r="N28" s="13">
        <f>IF('Données projet'!$A$36&gt;35,N27+M28-V27,IF(A28&lt;'Données projet'!$A$36,$K$205^A28,IF(A28='Données projet'!$A$36,'Données projet'!$B$36,N27+M28-V27)))</f>
        <v>30</v>
      </c>
      <c r="O28" s="13">
        <f>N28*VLOOKUP('Données projet'!$B$9,Paramètres!$A$1:$I$89,3,0)*VLOOKUP('Données projet'!$B$9,Paramètres!$A$1:$I$89,5,0)</f>
        <v>27.143999999999998</v>
      </c>
      <c r="P28" s="13">
        <f t="shared" si="33"/>
        <v>8.5181694620316346</v>
      </c>
      <c r="Q28" s="20">
        <f t="shared" si="2"/>
        <v>62.111611813038422</v>
      </c>
      <c r="R28" s="59">
        <f t="shared" si="0"/>
        <v>355.44494514637177</v>
      </c>
      <c r="S28" s="59">
        <f ca="1">AVERAGE(OFFSET($R$3,0,0,'Données projet'!$E$9+1,1))-AVERAGE(OFFSET($H$3,0,0,'Données projet'!$E$9+1,1))</f>
        <v>173.91998182168385</v>
      </c>
      <c r="T28" s="59">
        <f t="shared" si="34"/>
        <v>72.011647893875363</v>
      </c>
      <c r="U28" s="15">
        <f>IF(ISNA(VLOOKUP(A28,'Données projet'!$A$35:$I$55,3,0)),0,VLOOKUP(A28,'Données projet'!$A$35:$I$55,3,0))</f>
        <v>1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30</v>
      </c>
      <c r="AG28" s="12">
        <f>VLOOKUP(A28,'Données projet'!$A$61:$I$81,9,0)</f>
        <v>1.2</v>
      </c>
      <c r="AH28" s="12">
        <f t="array" ref="AH28">INDEX(AG:AG,MIN(IF(ISNUMBER(AG28:AG224),ROW(AG28:AG224),"")))</f>
        <v>1.2</v>
      </c>
      <c r="AI28" s="13">
        <f>IF('Données projet'!$A$62&gt;35,AI27+AH28-AQ27,IF(A28&lt;'Données projet'!$A$62,$AF$205^A28,IF(A28='Données projet'!$A$62,'Données projet'!$B$62,AI27+AH28-AQ27)))</f>
        <v>30</v>
      </c>
      <c r="AJ28" s="13">
        <f>AI28*VLOOKUP('Données projet'!$B$10,Paramètres!$A$1:$I$89,3,0)*VLOOKUP('Données projet'!$B$10,Paramètres!$A$1:$I$89,5,0)</f>
        <v>32.292000000000002</v>
      </c>
      <c r="AK28" s="13">
        <f t="shared" si="35"/>
        <v>9.9308942483743401</v>
      </c>
      <c r="AL28" s="20">
        <f t="shared" si="4"/>
        <v>73.538207482585321</v>
      </c>
      <c r="AM28" s="59">
        <f t="shared" si="5"/>
        <v>366.87154081591865</v>
      </c>
      <c r="AN28" s="59">
        <f ca="1">AVERAGE(OFFSET($AM$3,0,0,'Données projet'!$E$10+1,1))-AVERAGE(OFFSET($H$3,0,0,'Données projet'!$E$10+1,1))</f>
        <v>150.9416300233616</v>
      </c>
      <c r="AO28" s="59">
        <f t="shared" si="36"/>
        <v>92.286636088269972</v>
      </c>
      <c r="AP28" s="15">
        <f>IF(ISNA(VLOOKUP(A28,'Données projet'!$A$61:$I$81,3,0)),0,VLOOKUP(A28,'Données projet'!$A$61:$I$81,3,0))</f>
        <v>1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>
        <f>VLOOKUP(A28,'Données projet'!$A$87:$I$107,2,0)</f>
        <v>30</v>
      </c>
      <c r="BB28" s="12">
        <f>VLOOKUP(A28,'Données projet'!$A$87:$I$107,9,0)</f>
        <v>1.2</v>
      </c>
      <c r="BC28" s="12">
        <f t="array" ref="BC28">INDEX(BB:BB,MIN(IF(ISNUMBER(BB28:BB224),ROW(BB28:BB224),"")))</f>
        <v>1.2</v>
      </c>
      <c r="BD28" s="12">
        <f>IF('Données projet'!$A$88&gt;35,BD27+BC28-BL27,IF(A28&lt;'Données projet'!$A$88,$BA$205^A28,IF(A28='Données projet'!$A$88,'Données projet'!$B$88,BD27+BC28-BL27)))</f>
        <v>30</v>
      </c>
      <c r="BE28" s="13">
        <f>BD28*VLOOKUP('Données projet'!$B$11,Paramètres!$A$1:$I$89,3,0)*VLOOKUP('Données projet'!$B$11,Paramètres!$A$1:$I$89,5,0)</f>
        <v>29.016000000000002</v>
      </c>
      <c r="BF28" s="13">
        <f t="shared" si="37"/>
        <v>9.0352172071357728</v>
      </c>
      <c r="BG28" s="20">
        <f t="shared" si="7"/>
        <v>66.272536635761469</v>
      </c>
      <c r="BH28" s="59">
        <f t="shared" si="8"/>
        <v>359.60586996909478</v>
      </c>
      <c r="BI28" s="59">
        <f ca="1">AVERAGE(OFFSET($BH$3,0,0,'Données projet'!$E$11+1,1))-AVERAGE(OFFSET($H$3,0,0,'Données projet'!$E$11+1,1))</f>
        <v>131.02416800340484</v>
      </c>
      <c r="BJ28" s="59">
        <f t="shared" si="38"/>
        <v>79.394119001888555</v>
      </c>
      <c r="BK28" s="15">
        <f>IF(ISNA(VLOOKUP(A28,'Données projet'!$A$87:$I$107,3,0)),0,VLOOKUP(A28,'Données projet'!$A$87:$I$107,3,0))</f>
        <v>1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>
        <f>VLOOKUP(A28,'Données projet'!$A$113:$I$133,2,0)</f>
        <v>30</v>
      </c>
      <c r="BW28" s="12">
        <f>VLOOKUP(A28,'Données projet'!$A$113:$I$133,9,0)</f>
        <v>1.2</v>
      </c>
      <c r="BX28" s="12">
        <f t="array" ref="BX28">INDEX(BW:BW,MIN(IF(ISNUMBER(BW28:BW224),ROW(BW28:BW224),"")))</f>
        <v>1.2</v>
      </c>
      <c r="BY28" s="12">
        <f>IF('Données projet'!$A$114&gt;35,BY27+BX28-CG27,IF(A28&lt;'Données projet'!$A$114,$BV$205^A28,IF(A28='Données projet'!$A$114,'Données projet'!$B$114,BY27+BX28-CG27)))</f>
        <v>30</v>
      </c>
      <c r="BZ28" s="13">
        <f>BY28*VLOOKUP('Données projet'!$B$12,Paramètres!$A$1:$I$89,3,0)*VLOOKUP('Données projet'!$B$12,Paramètres!$A$1:$I$89,5,0)</f>
        <v>27.143999999999998</v>
      </c>
      <c r="CA28" s="13">
        <f t="shared" si="39"/>
        <v>8.5181694620316346</v>
      </c>
      <c r="CB28" s="20">
        <f t="shared" si="10"/>
        <v>62.111611813038422</v>
      </c>
      <c r="CC28" s="59">
        <f t="shared" si="11"/>
        <v>355.44494514637177</v>
      </c>
      <c r="CD28" s="59">
        <f ca="1">AVERAGE(OFFSET($CC$3,0,0,'Données projet'!$E$12+1,1))-AVERAGE(OFFSET($H$3,0,0,'Données projet'!$E$12+1,1))</f>
        <v>119.62076457560073</v>
      </c>
      <c r="CE28" s="59">
        <f t="shared" si="40"/>
        <v>72.011647893875363</v>
      </c>
      <c r="CF28" s="15">
        <f>IF(ISNA(VLOOKUP(A28,'Données projet'!$A$113:$I$133,3,0)),0,VLOOKUP(A28,'Données projet'!$A$113:$I$133,3,0))</f>
        <v>1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>
        <f>VLOOKUP(A28,'Données projet'!$A$139:$I$159,2,0)</f>
        <v>30</v>
      </c>
      <c r="CR28" s="12">
        <f>VLOOKUP(A28,'Données projet'!$A$139:$I$159,9,0)</f>
        <v>1.2</v>
      </c>
      <c r="CS28" s="12">
        <f t="array" ref="CS28">INDEX(CR:CR,MIN(IF(ISNUMBER(CR28:CR224),ROW(CR28:CR224),"")))</f>
        <v>1.2</v>
      </c>
      <c r="CT28" s="12">
        <f>IF('Données projet'!$A$140&gt;35,CT27+CS28-DB27,IF(A28&lt;'Données projet'!$A$140,$CQ$205^A28,IF(A28='Données projet'!$A$140,'Données projet'!$B$140,CT27+CS28-DB27)))</f>
        <v>30</v>
      </c>
      <c r="CU28" s="17">
        <f>CT28*VLOOKUP('Données projet'!$B$13,Paramètres!$A$1:$I$89,3,0)*VLOOKUP('Données projet'!$B$13,Paramètres!$A$1:$I$89,5,0)</f>
        <v>32.292000000000002</v>
      </c>
      <c r="CV28" s="13">
        <f t="shared" si="41"/>
        <v>9.9308942483743401</v>
      </c>
      <c r="CW28" s="20">
        <f t="shared" si="13"/>
        <v>73.538207482585321</v>
      </c>
      <c r="CX28" s="59">
        <f t="shared" si="14"/>
        <v>366.87154081591865</v>
      </c>
      <c r="CY28" s="59">
        <f ca="1">AVERAGE(OFFSET($CX$3,0,0,'Données projet'!$E$13+1,1))-AVERAGE(OFFSET($H$3,0,0,'Données projet'!$E$13+1,1))</f>
        <v>150.9416300233616</v>
      </c>
      <c r="CZ28" s="59">
        <f t="shared" si="42"/>
        <v>92.286636088269972</v>
      </c>
      <c r="DA28" s="15">
        <f>IF(ISNA(VLOOKUP(A28,'Données projet'!$A$139:$I$159,3,0)),0,VLOOKUP(A28,'Données projet'!$A$139:$I$159,3,0))</f>
        <v>1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>
        <f>VLOOKUP(A28,'Données projet'!$A$165:$I$185,2,0)</f>
        <v>176</v>
      </c>
      <c r="DM28" s="12">
        <f>VLOOKUP(A28,'Données projet'!$A$165:$I$185,9,0)</f>
        <v>15.4</v>
      </c>
      <c r="DN28" s="12">
        <f t="array" ref="DN28">INDEX(DM:DM,MIN(IF(ISNUMBER(DM28:DM224),ROW(DM28:DM224),"")))</f>
        <v>15.4</v>
      </c>
      <c r="DO28" s="12">
        <f>IF('Données projet'!$A$166&gt;35,DO27+DN28-DW27,IF(A28&lt;'Données projet'!$A$166,$DL$205^A28,IF(A28='Données projet'!$A$166,'Données projet'!$B$166,DO27+DN28-DW27)))</f>
        <v>176.00000000000003</v>
      </c>
      <c r="DP28" s="17">
        <f>DO28*VLOOKUP('Données projet'!$B$14,Paramètres!$A$1:$I$89,3,0)*VLOOKUP('Données projet'!$B$14,Paramètres!$A$1:$I$89,5,0)</f>
        <v>105.24800000000003</v>
      </c>
      <c r="DQ28" s="13">
        <f t="shared" si="43"/>
        <v>28.208515027560551</v>
      </c>
      <c r="DR28" s="20">
        <f t="shared" si="16"/>
        <v>232.43676367300134</v>
      </c>
      <c r="DS28" s="59">
        <f t="shared" si="17"/>
        <v>525.77009700633471</v>
      </c>
      <c r="DT28" s="59">
        <f ca="1">AVERAGE(OFFSET($DS$3,0,0,'Données projet'!$E$14+1,1))-AVERAGE(OFFSET($H$3,0,0,'Données projet'!$E$14+1,1))</f>
        <v>249.22792522076639</v>
      </c>
      <c r="DU28" s="59">
        <f t="shared" si="44"/>
        <v>244.53725944480669</v>
      </c>
      <c r="DV28" s="15">
        <f>IF(ISNA(VLOOKUP(A28,'Données projet'!$A$165:$I$185,3,0)),0,VLOOKUP(A28,'Données projet'!$A$165:$I$185,3,0))</f>
        <v>3</v>
      </c>
      <c r="DW28" s="15">
        <f>IF(ISNA(VLOOKUP(A28,'Données projet'!$A$165:$I$185,4,0)),0,VLOOKUP(A28,'Données projet'!$A$165:$I$185,4,0))</f>
        <v>42</v>
      </c>
      <c r="DX28" s="16">
        <f>IF(ISNA(VLOOKUP(A28,'Données projet'!$A$165:$I$185,5,0)),0%,VLOOKUP(A28,'Données projet'!$A$165:$I$185,5,0)*VLOOKUP('Données projet'!$B$14,Paramètres!$A$1:$I$89,7,0))</f>
        <v>0.13500000000000001</v>
      </c>
      <c r="DY28" s="16">
        <f>IF(ISNA(VLOOKUP(A28,'Données projet'!$A$165:$I$185,6,0)),0%,VLOOKUP(A28,'Données projet'!$A$165:$I$185,6,0)*VLOOKUP('Données projet'!$B$14,Paramètres!$A$1:$I$89,7,0))</f>
        <v>0.17550000000000002</v>
      </c>
      <c r="DZ28" s="16">
        <f>IF(ISNA(VLOOKUP(A28,'Données projet'!$A$165:$I$185,7,0)),0%,VLOOKUP(A28,'Données projet'!$A$165:$I$185,7,0))</f>
        <v>0.31</v>
      </c>
      <c r="EA28" s="21">
        <f>EXP(-LN(2)/35)*EA27+(1-EXP(-LN(2)/35))/(LN(2)/35)*DW28*DX28*VLOOKUP('Données projet'!$B$14,Paramètres!$A$1:$I$89,3,0)*0.475*44/12</f>
        <v>5.9852188408610445</v>
      </c>
      <c r="EB28" s="21">
        <f>EXP(-LN(2)/25)*EB27+(1-EXP(-LN(2)/25))/(LN(2)/25)*Calculateur!DW28*Calculateur!DY28*VLOOKUP('Données projet'!$B$14,Paramètres!$A$1:$I$89,3,0)*0.475*44/12</f>
        <v>9.0280673304332186</v>
      </c>
      <c r="EC28" s="21">
        <f>EXP(-LN(2)/2)*EC27+(1-EXP(-LN(2)/2))/(LN(2)/2)*DW28*DZ28*VLOOKUP('Données projet'!$B$14,Paramètres!$A$1:$I$89,3,0)*0.475*44/12</f>
        <v>9.7790284585461507</v>
      </c>
      <c r="ED28" s="22">
        <f t="shared" si="18"/>
        <v>24.792314629840412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>
        <f>VLOOKUP(A28,'Données projet'!$A$191:$I$211,2,0)</f>
        <v>309</v>
      </c>
      <c r="EH28" s="12">
        <f>VLOOKUP(A28,'Données projet'!$A$191:$I$211,9,0)</f>
        <v>32</v>
      </c>
      <c r="EI28" s="12">
        <f t="array" ref="EI28">INDEX(EH:EH,MIN(IF(ISNUMBER(EH28:EH224),ROW(EH28:EH224),"")))</f>
        <v>32</v>
      </c>
      <c r="EJ28" s="12">
        <f>IF('Données projet'!$A$192&gt;35,EJ27+EI28-ER27,IF(A28&lt;'Données projet'!$A$192,$EG$205^A28,IF(A28='Données projet'!$A$192,'Données projet'!$B$192,EJ27+EI28-ER27)))</f>
        <v>309</v>
      </c>
      <c r="EK28" s="17">
        <f>EJ28*VLOOKUP('Données projet'!$B$15,Paramètres!$A$1:$I$89,3,0)*VLOOKUP('Données projet'!$B$15,Paramètres!$A$1:$I$89,5,0)</f>
        <v>172.73100000000002</v>
      </c>
      <c r="EL28" s="13">
        <f t="shared" si="45"/>
        <v>43.701108252019125</v>
      </c>
      <c r="EM28" s="20">
        <f t="shared" si="19"/>
        <v>376.9525885389333</v>
      </c>
      <c r="EN28" s="59">
        <f t="shared" si="20"/>
        <v>670.28592187226661</v>
      </c>
      <c r="EO28" s="59">
        <f ca="1">AVERAGE(OFFSET($EN$3,0,0,'Données projet'!$E$15+1,1))-AVERAGE(OFFSET($H$3,0,0,'Données projet'!$E$15+1,1))</f>
        <v>313.36787814924116</v>
      </c>
      <c r="EP28" s="59">
        <f t="shared" si="46"/>
        <v>438.72984487610216</v>
      </c>
      <c r="EQ28" s="15">
        <f>IF(ISNA(VLOOKUP(A28,'Données projet'!$A$191:$I$211,3,0)),0,VLOOKUP(A28,'Données projet'!$A$191:$I$211,3,0))</f>
        <v>4</v>
      </c>
      <c r="ER28" s="15">
        <f>IF(ISNA(VLOOKUP(A28,'Données projet'!$A$191:$I$211,4,0)),0,VLOOKUP(A28,'Données projet'!$A$191:$I$211,4,0))</f>
        <v>84</v>
      </c>
      <c r="ES28" s="16">
        <f>IF(ISNA(VLOOKUP(A28,'Données projet'!$A$191:$I$211,5,0)),0%,VLOOKUP(A28,'Données projet'!$A$191:$I$211,5,0)*VLOOKUP('Données projet'!$B$15,Paramètres!$A$1:$I$89,7,0))</f>
        <v>0.27500000000000002</v>
      </c>
      <c r="ET28" s="16">
        <f>IF(ISNA(VLOOKUP(A28,'Données projet'!$A$191:$I$211,6,0)),0%,VLOOKUP(A28,'Données projet'!$A$191:$I$211,6,0)*VLOOKUP('Données projet'!$B$15,Paramètres!$A$1:$I$89,7,0))</f>
        <v>0.15400000000000003</v>
      </c>
      <c r="EU28" s="16">
        <f>IF(ISNA(VLOOKUP(A28,'Données projet'!$A$191:$I$211,7,0)),0%,VLOOKUP(A28,'Données projet'!$A$191:$I$211,7,0))</f>
        <v>0.22</v>
      </c>
      <c r="EV28" s="21">
        <f>EXP(-LN(2)/35)*EV27+(1-EXP(-LN(2)/35))/(LN(2)/35)*ER28*ES28*VLOOKUP('Données projet'!$B$15,Paramètres!$A$1:$I$89,3,0)*0.475*44/12</f>
        <v>37.571496837862142</v>
      </c>
      <c r="EW28" s="21">
        <f>EXP(-LN(2)/25)*EW27+(1-EXP(-LN(2)/25))/(LN(2)/25)*Calculateur!ER28*Calculateur!ET28*VLOOKUP('Données projet'!$B$15,Paramètres!$A$1:$I$89,3,0)*0.475*44/12</f>
        <v>25.936081819124265</v>
      </c>
      <c r="EX28" s="21">
        <f>EXP(-LN(2)/2)*EX27+(1-EXP(-LN(2)/2))/(LN(2)/2)*ER28*EU28*VLOOKUP('Données projet'!$B$15,Paramètres!$A$1:$I$89,3,0)*0.475*44/12</f>
        <v>14.448440568464303</v>
      </c>
      <c r="EY28" s="22">
        <f t="shared" si="21"/>
        <v>77.956019225450717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4.8</v>
      </c>
      <c r="N29" s="13">
        <f>IF('Données projet'!$A$36&gt;35,N28+M29-V28,IF(A29&lt;'Données projet'!$A$36,$K$205^A29,IF(A29='Données projet'!$A$36,'Données projet'!$B$36,N28+M29-V28)))</f>
        <v>34.799999999999997</v>
      </c>
      <c r="O29" s="13">
        <f>N29*VLOOKUP('Données projet'!$B$9,Paramètres!$A$1:$I$89,3,0)*VLOOKUP('Données projet'!$B$9,Paramètres!$A$1:$I$89,5,0)</f>
        <v>31.487039999999997</v>
      </c>
      <c r="P29" s="13">
        <f t="shared" si="33"/>
        <v>9.7118363356135369</v>
      </c>
      <c r="Q29" s="20">
        <f t="shared" si="2"/>
        <v>71.754709617860229</v>
      </c>
      <c r="R29" s="59">
        <f t="shared" si="0"/>
        <v>365.08804295119353</v>
      </c>
      <c r="S29" s="59">
        <f ca="1">AVERAGE(OFFSET($R$3,0,0,'Données projet'!$E$9+1,1))-AVERAGE(OFFSET($H$3,0,0,'Données projet'!$E$9+1,1))</f>
        <v>173.91998182168385</v>
      </c>
      <c r="T29" s="59">
        <f t="shared" si="34"/>
        <v>72.011647893875363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4.8</v>
      </c>
      <c r="AI29" s="13">
        <f>IF('Données projet'!$A$62&gt;35,AI28+AH29-AQ28,IF(A29&lt;'Données projet'!$A$62,$AF$205^A29,IF(A29='Données projet'!$A$62,'Données projet'!$B$62,AI28+AH29-AQ28)))</f>
        <v>34.799999999999997</v>
      </c>
      <c r="AJ29" s="13">
        <f>AI29*VLOOKUP('Données projet'!$B$10,Paramètres!$A$1:$I$89,3,0)*VLOOKUP('Données projet'!$B$10,Paramètres!$A$1:$I$89,5,0)</f>
        <v>37.45872</v>
      </c>
      <c r="AK29" s="13">
        <f t="shared" si="35"/>
        <v>11.322528864493165</v>
      </c>
      <c r="AL29" s="20">
        <f t="shared" si="4"/>
        <v>84.960675105658922</v>
      </c>
      <c r="AM29" s="59">
        <f t="shared" si="5"/>
        <v>378.29400843899225</v>
      </c>
      <c r="AN29" s="59">
        <f ca="1">AVERAGE(OFFSET($AM$3,0,0,'Données projet'!$E$10+1,1))-AVERAGE(OFFSET($H$3,0,0,'Données projet'!$E$10+1,1))</f>
        <v>150.9416300233616</v>
      </c>
      <c r="AO29" s="59">
        <f t="shared" si="36"/>
        <v>92.286636088269972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4.8</v>
      </c>
      <c r="BD29" s="12">
        <f>IF('Données projet'!$A$88&gt;35,BD28+BC29-BL28,IF(A29&lt;'Données projet'!$A$88,$BA$205^A29,IF(A29='Données projet'!$A$88,'Données projet'!$B$88,BD28+BC29-BL28)))</f>
        <v>34.799999999999997</v>
      </c>
      <c r="BE29" s="13">
        <f>BD29*VLOOKUP('Données projet'!$B$11,Paramètres!$A$1:$I$89,3,0)*VLOOKUP('Données projet'!$B$11,Paramètres!$A$1:$I$89,5,0)</f>
        <v>33.658559999999994</v>
      </c>
      <c r="BF29" s="13">
        <f t="shared" si="37"/>
        <v>10.301338939492439</v>
      </c>
      <c r="BG29" s="20">
        <f t="shared" si="7"/>
        <v>76.563490652949312</v>
      </c>
      <c r="BH29" s="59">
        <f t="shared" si="8"/>
        <v>369.89682398628264</v>
      </c>
      <c r="BI29" s="59">
        <f ca="1">AVERAGE(OFFSET($BH$3,0,0,'Données projet'!$E$11+1,1))-AVERAGE(OFFSET($H$3,0,0,'Données projet'!$E$11+1,1))</f>
        <v>131.02416800340484</v>
      </c>
      <c r="BJ29" s="59">
        <f t="shared" si="38"/>
        <v>79.394119001888555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4.8</v>
      </c>
      <c r="BY29" s="12">
        <f>IF('Données projet'!$A$114&gt;35,BY28+BX29-CG28,IF(A29&lt;'Données projet'!$A$114,$BV$205^A29,IF(A29='Données projet'!$A$114,'Données projet'!$B$114,BY28+BX29-CG28)))</f>
        <v>34.799999999999997</v>
      </c>
      <c r="BZ29" s="13">
        <f>BY29*VLOOKUP('Données projet'!$B$12,Paramètres!$A$1:$I$89,3,0)*VLOOKUP('Données projet'!$B$12,Paramètres!$A$1:$I$89,5,0)</f>
        <v>31.487039999999997</v>
      </c>
      <c r="CA29" s="13">
        <f t="shared" si="39"/>
        <v>9.7118363356135369</v>
      </c>
      <c r="CB29" s="20">
        <f t="shared" si="10"/>
        <v>71.754709617860229</v>
      </c>
      <c r="CC29" s="59">
        <f t="shared" si="11"/>
        <v>365.08804295119353</v>
      </c>
      <c r="CD29" s="59">
        <f ca="1">AVERAGE(OFFSET($CC$3,0,0,'Données projet'!$E$12+1,1))-AVERAGE(OFFSET($H$3,0,0,'Données projet'!$E$12+1,1))</f>
        <v>119.62076457560073</v>
      </c>
      <c r="CE29" s="59">
        <f t="shared" si="40"/>
        <v>72.011647893875363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4.8</v>
      </c>
      <c r="CT29" s="12">
        <f>IF('Données projet'!$A$140&gt;35,CT28+CS29-DB28,IF(A29&lt;'Données projet'!$A$140,$CQ$205^A29,IF(A29='Données projet'!$A$140,'Données projet'!$B$140,CT28+CS29-DB28)))</f>
        <v>34.799999999999997</v>
      </c>
      <c r="CU29" s="17">
        <f>CT29*VLOOKUP('Données projet'!$B$13,Paramètres!$A$1:$I$89,3,0)*VLOOKUP('Données projet'!$B$13,Paramètres!$A$1:$I$89,5,0)</f>
        <v>37.45872</v>
      </c>
      <c r="CV29" s="13">
        <f t="shared" si="41"/>
        <v>11.322528864493165</v>
      </c>
      <c r="CW29" s="20">
        <f t="shared" si="13"/>
        <v>84.960675105658922</v>
      </c>
      <c r="CX29" s="59">
        <f t="shared" si="14"/>
        <v>378.29400843899225</v>
      </c>
      <c r="CY29" s="59">
        <f ca="1">AVERAGE(OFFSET($CX$3,0,0,'Données projet'!$E$13+1,1))-AVERAGE(OFFSET($H$3,0,0,'Données projet'!$E$13+1,1))</f>
        <v>150.9416300233616</v>
      </c>
      <c r="CZ29" s="59">
        <f t="shared" si="42"/>
        <v>92.286636088269972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16.2</v>
      </c>
      <c r="DO29" s="12">
        <f>IF('Données projet'!$A$166&gt;35,DO28+DN29-DW28,IF(A29&lt;'Données projet'!$A$166,$DL$205^A29,IF(A29='Données projet'!$A$166,'Données projet'!$B$166,DO28+DN29-DW28)))</f>
        <v>150.20000000000002</v>
      </c>
      <c r="DP29" s="17">
        <f>DO29*VLOOKUP('Données projet'!$B$14,Paramètres!$A$1:$I$89,3,0)*VLOOKUP('Données projet'!$B$14,Paramètres!$A$1:$I$89,5,0)</f>
        <v>89.819600000000023</v>
      </c>
      <c r="DQ29" s="13">
        <f t="shared" si="43"/>
        <v>24.521711778541039</v>
      </c>
      <c r="DR29" s="20">
        <f t="shared" si="16"/>
        <v>199.1444513476257</v>
      </c>
      <c r="DS29" s="59">
        <f t="shared" si="17"/>
        <v>492.47778468095902</v>
      </c>
      <c r="DT29" s="59">
        <f ca="1">AVERAGE(OFFSET($DS$3,0,0,'Données projet'!$E$14+1,1))-AVERAGE(OFFSET($H$3,0,0,'Données projet'!$E$14+1,1))</f>
        <v>249.22792522076639</v>
      </c>
      <c r="DU29" s="59">
        <f t="shared" si="44"/>
        <v>244.53725944480669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5.8678523500147834</v>
      </c>
      <c r="EB29" s="21">
        <f>EXP(-LN(2)/25)*EB28+(1-EXP(-LN(2)/25))/(LN(2)/25)*Calculateur!DW29*Calculateur!DY29*VLOOKUP('Données projet'!$B$14,Paramètres!$A$1:$I$89,3,0)*0.475*44/12</f>
        <v>8.7811943545170958</v>
      </c>
      <c r="EC29" s="21">
        <f>EXP(-LN(2)/2)*EC28+(1-EXP(-LN(2)/2))/(LN(2)/2)*DW29*DZ29*VLOOKUP('Données projet'!$B$14,Paramètres!$A$1:$I$89,3,0)*0.475*44/12</f>
        <v>6.9148173364542149</v>
      </c>
      <c r="ED29" s="22">
        <f t="shared" si="18"/>
        <v>21.563864040986097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33.6</v>
      </c>
      <c r="EJ29" s="12">
        <f>IF('Données projet'!$A$192&gt;35,EJ28+EI29-ER28,IF(A29&lt;'Données projet'!$A$192,$EG$205^A29,IF(A29='Données projet'!$A$192,'Données projet'!$B$192,EJ28+EI29-ER28)))</f>
        <v>258.60000000000002</v>
      </c>
      <c r="EK29" s="17">
        <f>EJ29*VLOOKUP('Données projet'!$B$15,Paramètres!$A$1:$I$89,3,0)*VLOOKUP('Données projet'!$B$15,Paramètres!$A$1:$I$89,5,0)</f>
        <v>144.5574</v>
      </c>
      <c r="EL29" s="13">
        <f t="shared" si="45"/>
        <v>37.339087388457948</v>
      </c>
      <c r="EM29" s="20">
        <f t="shared" si="19"/>
        <v>316.80304886823097</v>
      </c>
      <c r="EN29" s="59">
        <f t="shared" si="20"/>
        <v>610.13638220156429</v>
      </c>
      <c r="EO29" s="59">
        <f ca="1">AVERAGE(OFFSET($EN$3,0,0,'Données projet'!$E$15+1,1))-AVERAGE(OFFSET($H$3,0,0,'Données projet'!$E$15+1,1))</f>
        <v>313.36787814924116</v>
      </c>
      <c r="EP29" s="59">
        <f t="shared" si="46"/>
        <v>438.72984487610216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36.834742701221934</v>
      </c>
      <c r="EW29" s="21">
        <f>EXP(-LN(2)/25)*EW28+(1-EXP(-LN(2)/25))/(LN(2)/25)*Calculateur!ER29*Calculateur!ET29*VLOOKUP('Données projet'!$B$15,Paramètres!$A$1:$I$89,3,0)*0.475*44/12</f>
        <v>25.226858297861046</v>
      </c>
      <c r="EX29" s="21">
        <f>EXP(-LN(2)/2)*EX28+(1-EXP(-LN(2)/2))/(LN(2)/2)*ER29*EU29*VLOOKUP('Données projet'!$B$15,Paramètres!$A$1:$I$89,3,0)*0.475*44/12</f>
        <v>10.216590303531925</v>
      </c>
      <c r="EY29" s="22">
        <f t="shared" si="21"/>
        <v>72.278191302614914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4.8</v>
      </c>
      <c r="N30" s="13">
        <f>IF('Données projet'!$A$36&gt;35,N29+M30-V29,IF(A30&lt;'Données projet'!$A$36,$K$205^A30,IF(A30='Données projet'!$A$36,'Données projet'!$B$36,N29+M30-V29)))</f>
        <v>39.599999999999994</v>
      </c>
      <c r="O30" s="13">
        <f>N30*VLOOKUP('Données projet'!$B$9,Paramètres!$A$1:$I$89,3,0)*VLOOKUP('Données projet'!$B$9,Paramètres!$A$1:$I$89,5,0)</f>
        <v>35.830079999999995</v>
      </c>
      <c r="P30" s="13">
        <f t="shared" si="33"/>
        <v>10.886427918882697</v>
      </c>
      <c r="Q30" s="20">
        <f t="shared" si="2"/>
        <v>81.364584625387351</v>
      </c>
      <c r="R30" s="59">
        <f t="shared" si="0"/>
        <v>374.69791795872067</v>
      </c>
      <c r="S30" s="59">
        <f ca="1">AVERAGE(OFFSET($R$3,0,0,'Données projet'!$E$9+1,1))-AVERAGE(OFFSET($H$3,0,0,'Données projet'!$E$9+1,1))</f>
        <v>173.91998182168385</v>
      </c>
      <c r="T30" s="59">
        <f t="shared" si="34"/>
        <v>72.011647893875363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4.8</v>
      </c>
      <c r="AI30" s="13">
        <f>IF('Données projet'!$A$62&gt;35,AI29+AH30-AQ29,IF(A30&lt;'Données projet'!$A$62,$AF$205^A30,IF(A30='Données projet'!$A$62,'Données projet'!$B$62,AI29+AH30-AQ29)))</f>
        <v>39.599999999999994</v>
      </c>
      <c r="AJ30" s="13">
        <f>AI30*VLOOKUP('Données projet'!$B$10,Paramètres!$A$1:$I$89,3,0)*VLOOKUP('Données projet'!$B$10,Paramètres!$A$1:$I$89,5,0)</f>
        <v>42.62543999999999</v>
      </c>
      <c r="AK30" s="13">
        <f t="shared" si="35"/>
        <v>12.691924583898647</v>
      </c>
      <c r="AL30" s="20">
        <f t="shared" si="4"/>
        <v>96.34440998362345</v>
      </c>
      <c r="AM30" s="59">
        <f t="shared" si="5"/>
        <v>389.67774331695676</v>
      </c>
      <c r="AN30" s="59">
        <f ca="1">AVERAGE(OFFSET($AM$3,0,0,'Données projet'!$E$10+1,1))-AVERAGE(OFFSET($H$3,0,0,'Données projet'!$E$10+1,1))</f>
        <v>150.9416300233616</v>
      </c>
      <c r="AO30" s="59">
        <f t="shared" si="36"/>
        <v>92.286636088269972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4.8</v>
      </c>
      <c r="BD30" s="12">
        <f>IF('Données projet'!$A$88&gt;35,BD29+BC30-BL29,IF(A30&lt;'Données projet'!$A$88,$BA$205^A30,IF(A30='Données projet'!$A$88,'Données projet'!$B$88,BD29+BC30-BL29)))</f>
        <v>39.599999999999994</v>
      </c>
      <c r="BE30" s="13">
        <f>BD30*VLOOKUP('Données projet'!$B$11,Paramètres!$A$1:$I$89,3,0)*VLOOKUP('Données projet'!$B$11,Paramètres!$A$1:$I$89,5,0)</f>
        <v>38.301119999999997</v>
      </c>
      <c r="BF30" s="13">
        <f t="shared" si="37"/>
        <v>11.547227522927502</v>
      </c>
      <c r="BG30" s="20">
        <f t="shared" si="7"/>
        <v>86.819205269098731</v>
      </c>
      <c r="BH30" s="59">
        <f t="shared" si="8"/>
        <v>380.15253860243206</v>
      </c>
      <c r="BI30" s="59">
        <f ca="1">AVERAGE(OFFSET($BH$3,0,0,'Données projet'!$E$11+1,1))-AVERAGE(OFFSET($H$3,0,0,'Données projet'!$E$11+1,1))</f>
        <v>131.02416800340484</v>
      </c>
      <c r="BJ30" s="59">
        <f t="shared" si="38"/>
        <v>79.394119001888555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4.8</v>
      </c>
      <c r="BY30" s="12">
        <f>IF('Données projet'!$A$114&gt;35,BY29+BX30-CG29,IF(A30&lt;'Données projet'!$A$114,$BV$205^A30,IF(A30='Données projet'!$A$114,'Données projet'!$B$114,BY29+BX30-CG29)))</f>
        <v>39.599999999999994</v>
      </c>
      <c r="BZ30" s="13">
        <f>BY30*VLOOKUP('Données projet'!$B$12,Paramètres!$A$1:$I$89,3,0)*VLOOKUP('Données projet'!$B$12,Paramètres!$A$1:$I$89,5,0)</f>
        <v>35.830079999999995</v>
      </c>
      <c r="CA30" s="13">
        <f t="shared" si="39"/>
        <v>10.886427918882697</v>
      </c>
      <c r="CB30" s="20">
        <f t="shared" si="10"/>
        <v>81.364584625387351</v>
      </c>
      <c r="CC30" s="59">
        <f t="shared" si="11"/>
        <v>374.69791795872067</v>
      </c>
      <c r="CD30" s="59">
        <f ca="1">AVERAGE(OFFSET($CC$3,0,0,'Données projet'!$E$12+1,1))-AVERAGE(OFFSET($H$3,0,0,'Données projet'!$E$12+1,1))</f>
        <v>119.62076457560073</v>
      </c>
      <c r="CE30" s="59">
        <f t="shared" si="40"/>
        <v>72.011647893875363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4.8</v>
      </c>
      <c r="CT30" s="12">
        <f>IF('Données projet'!$A$140&gt;35,CT29+CS30-DB29,IF(A30&lt;'Données projet'!$A$140,$CQ$205^A30,IF(A30='Données projet'!$A$140,'Données projet'!$B$140,CT29+CS30-DB29)))</f>
        <v>39.599999999999994</v>
      </c>
      <c r="CU30" s="17">
        <f>CT30*VLOOKUP('Données projet'!$B$13,Paramètres!$A$1:$I$89,3,0)*VLOOKUP('Données projet'!$B$13,Paramètres!$A$1:$I$89,5,0)</f>
        <v>42.62543999999999</v>
      </c>
      <c r="CV30" s="13">
        <f t="shared" si="41"/>
        <v>12.691924583898647</v>
      </c>
      <c r="CW30" s="20">
        <f t="shared" si="13"/>
        <v>96.34440998362345</v>
      </c>
      <c r="CX30" s="59">
        <f t="shared" si="14"/>
        <v>389.67774331695676</v>
      </c>
      <c r="CY30" s="59">
        <f ca="1">AVERAGE(OFFSET($CX$3,0,0,'Données projet'!$E$13+1,1))-AVERAGE(OFFSET($H$3,0,0,'Données projet'!$E$13+1,1))</f>
        <v>150.9416300233616</v>
      </c>
      <c r="CZ30" s="59">
        <f t="shared" si="42"/>
        <v>92.286636088269972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16.2</v>
      </c>
      <c r="DO30" s="12">
        <f>IF('Données projet'!$A$166&gt;35,DO29+DN30-DW29,IF(A30&lt;'Données projet'!$A$166,$DL$205^A30,IF(A30='Données projet'!$A$166,'Données projet'!$B$166,DO29+DN30-DW29)))</f>
        <v>166.4</v>
      </c>
      <c r="DP30" s="17">
        <f>DO30*VLOOKUP('Données projet'!$B$14,Paramètres!$A$1:$I$89,3,0)*VLOOKUP('Données projet'!$B$14,Paramètres!$A$1:$I$89,5,0)</f>
        <v>99.507200000000012</v>
      </c>
      <c r="DQ30" s="13">
        <f t="shared" si="43"/>
        <v>26.844561009733273</v>
      </c>
      <c r="DR30" s="20">
        <f t="shared" si="16"/>
        <v>220.06265042528548</v>
      </c>
      <c r="DS30" s="59">
        <f t="shared" si="17"/>
        <v>513.39598375861874</v>
      </c>
      <c r="DT30" s="59">
        <f ca="1">AVERAGE(OFFSET($DS$3,0,0,'Données projet'!$E$14+1,1))-AVERAGE(OFFSET($H$3,0,0,'Données projet'!$E$14+1,1))</f>
        <v>249.22792522076639</v>
      </c>
      <c r="DU30" s="59">
        <f t="shared" si="44"/>
        <v>244.53725944480669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5.7527873444675262</v>
      </c>
      <c r="EB30" s="21">
        <f>EXP(-LN(2)/25)*EB29+(1-EXP(-LN(2)/25))/(LN(2)/25)*Calculateur!DW30*Calculateur!DY30*VLOOKUP('Données projet'!$B$14,Paramètres!$A$1:$I$89,3,0)*0.475*44/12</f>
        <v>8.5410721331098838</v>
      </c>
      <c r="EC30" s="21">
        <f>EXP(-LN(2)/2)*EC29+(1-EXP(-LN(2)/2))/(LN(2)/2)*DW30*DZ30*VLOOKUP('Données projet'!$B$14,Paramètres!$A$1:$I$89,3,0)*0.475*44/12</f>
        <v>4.8895142292730762</v>
      </c>
      <c r="ED30" s="22">
        <f t="shared" si="18"/>
        <v>19.183373706850485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33.6</v>
      </c>
      <c r="EJ30" s="12">
        <f>IF('Données projet'!$A$192&gt;35,EJ29+EI30-ER29,IF(A30&lt;'Données projet'!$A$192,$EG$205^A30,IF(A30='Données projet'!$A$192,'Données projet'!$B$192,EJ29+EI30-ER29)))</f>
        <v>292.20000000000005</v>
      </c>
      <c r="EK30" s="17">
        <f>EJ30*VLOOKUP('Données projet'!$B$15,Paramètres!$A$1:$I$89,3,0)*VLOOKUP('Données projet'!$B$15,Paramètres!$A$1:$I$89,5,0)</f>
        <v>163.33980000000003</v>
      </c>
      <c r="EL30" s="13">
        <f t="shared" si="45"/>
        <v>41.594908500730959</v>
      </c>
      <c r="EM30" s="20">
        <f t="shared" si="19"/>
        <v>356.92795063877315</v>
      </c>
      <c r="EN30" s="59">
        <f t="shared" si="20"/>
        <v>650.26128397210641</v>
      </c>
      <c r="EO30" s="59">
        <f ca="1">AVERAGE(OFFSET($EN$3,0,0,'Données projet'!$E$15+1,1))-AVERAGE(OFFSET($H$3,0,0,'Données projet'!$E$15+1,1))</f>
        <v>313.36787814924116</v>
      </c>
      <c r="EP30" s="59">
        <f t="shared" si="46"/>
        <v>438.72984487610216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36.112435863825588</v>
      </c>
      <c r="EW30" s="21">
        <f>EXP(-LN(2)/25)*EW29+(1-EXP(-LN(2)/25))/(LN(2)/25)*Calculateur!ER30*Calculateur!ET30*VLOOKUP('Données projet'!$B$15,Paramètres!$A$1:$I$89,3,0)*0.475*44/12</f>
        <v>24.537028531083216</v>
      </c>
      <c r="EX30" s="21">
        <f>EXP(-LN(2)/2)*EX29+(1-EXP(-LN(2)/2))/(LN(2)/2)*ER30*EU30*VLOOKUP('Données projet'!$B$15,Paramètres!$A$1:$I$89,3,0)*0.475*44/12</f>
        <v>7.2242202842321523</v>
      </c>
      <c r="EY30" s="22">
        <f t="shared" si="21"/>
        <v>67.87368467914095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4.8</v>
      </c>
      <c r="N31" s="13">
        <f>IF('Données projet'!$A$36&gt;35,N30+M31-V30,IF(A31&lt;'Données projet'!$A$36,$K$205^A31,IF(A31='Données projet'!$A$36,'Données projet'!$B$36,N30+M31-V30)))</f>
        <v>44.399999999999991</v>
      </c>
      <c r="O31" s="13">
        <f>N31*VLOOKUP('Données projet'!$B$9,Paramètres!$A$1:$I$89,3,0)*VLOOKUP('Données projet'!$B$9,Paramètres!$A$1:$I$89,5,0)</f>
        <v>40.17311999999999</v>
      </c>
      <c r="P31" s="13">
        <f t="shared" si="33"/>
        <v>12.044520842267836</v>
      </c>
      <c r="Q31" s="20">
        <f t="shared" si="2"/>
        <v>90.945724466949798</v>
      </c>
      <c r="R31" s="59">
        <f t="shared" si="0"/>
        <v>384.27905780028311</v>
      </c>
      <c r="S31" s="59">
        <f ca="1">AVERAGE(OFFSET($R$3,0,0,'Données projet'!$E$9+1,1))-AVERAGE(OFFSET($H$3,0,0,'Données projet'!$E$9+1,1))</f>
        <v>173.91998182168385</v>
      </c>
      <c r="T31" s="59">
        <f t="shared" si="34"/>
        <v>72.011647893875363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4.8</v>
      </c>
      <c r="AI31" s="13">
        <f>IF('Données projet'!$A$62&gt;35,AI30+AH31-AQ30,IF(A31&lt;'Données projet'!$A$62,$AF$205^A31,IF(A31='Données projet'!$A$62,'Données projet'!$B$62,AI30+AH31-AQ30)))</f>
        <v>44.399999999999991</v>
      </c>
      <c r="AJ31" s="13">
        <f>AI31*VLOOKUP('Données projet'!$B$10,Paramètres!$A$1:$I$89,3,0)*VLOOKUP('Données projet'!$B$10,Paramètres!$A$1:$I$89,5,0)</f>
        <v>47.792159999999988</v>
      </c>
      <c r="AK31" s="13">
        <f t="shared" si="35"/>
        <v>14.042085367056567</v>
      </c>
      <c r="AL31" s="20">
        <f t="shared" si="4"/>
        <v>107.69464401429015</v>
      </c>
      <c r="AM31" s="59">
        <f t="shared" si="5"/>
        <v>401.02797734762345</v>
      </c>
      <c r="AN31" s="59">
        <f ca="1">AVERAGE(OFFSET($AM$3,0,0,'Données projet'!$E$10+1,1))-AVERAGE(OFFSET($H$3,0,0,'Données projet'!$E$10+1,1))</f>
        <v>150.9416300233616</v>
      </c>
      <c r="AO31" s="59">
        <f t="shared" si="36"/>
        <v>92.286636088269972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4.8</v>
      </c>
      <c r="BD31" s="12">
        <f>IF('Données projet'!$A$88&gt;35,BD30+BC31-BL30,IF(A31&lt;'Données projet'!$A$88,$BA$205^A31,IF(A31='Données projet'!$A$88,'Données projet'!$B$88,BD30+BC31-BL30)))</f>
        <v>44.399999999999991</v>
      </c>
      <c r="BE31" s="13">
        <f>BD31*VLOOKUP('Données projet'!$B$11,Paramètres!$A$1:$I$89,3,0)*VLOOKUP('Données projet'!$B$11,Paramètres!$A$1:$I$89,5,0)</f>
        <v>42.943679999999993</v>
      </c>
      <c r="BF31" s="13">
        <f t="shared" si="37"/>
        <v>12.775615987781539</v>
      </c>
      <c r="BG31" s="20">
        <f t="shared" si="7"/>
        <v>97.044440512052844</v>
      </c>
      <c r="BH31" s="59">
        <f t="shared" si="8"/>
        <v>390.37777384538617</v>
      </c>
      <c r="BI31" s="59">
        <f ca="1">AVERAGE(OFFSET($BH$3,0,0,'Données projet'!$E$11+1,1))-AVERAGE(OFFSET($H$3,0,0,'Données projet'!$E$11+1,1))</f>
        <v>131.02416800340484</v>
      </c>
      <c r="BJ31" s="59">
        <f t="shared" si="38"/>
        <v>79.394119001888555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4.8</v>
      </c>
      <c r="BY31" s="12">
        <f>IF('Données projet'!$A$114&gt;35,BY30+BX31-CG30,IF(A31&lt;'Données projet'!$A$114,$BV$205^A31,IF(A31='Données projet'!$A$114,'Données projet'!$B$114,BY30+BX31-CG30)))</f>
        <v>44.399999999999991</v>
      </c>
      <c r="BZ31" s="13">
        <f>BY31*VLOOKUP('Données projet'!$B$12,Paramètres!$A$1:$I$89,3,0)*VLOOKUP('Données projet'!$B$12,Paramètres!$A$1:$I$89,5,0)</f>
        <v>40.17311999999999</v>
      </c>
      <c r="CA31" s="13">
        <f t="shared" si="39"/>
        <v>12.044520842267836</v>
      </c>
      <c r="CB31" s="20">
        <f t="shared" si="10"/>
        <v>90.945724466949798</v>
      </c>
      <c r="CC31" s="59">
        <f t="shared" si="11"/>
        <v>384.27905780028311</v>
      </c>
      <c r="CD31" s="59">
        <f ca="1">AVERAGE(OFFSET($CC$3,0,0,'Données projet'!$E$12+1,1))-AVERAGE(OFFSET($H$3,0,0,'Données projet'!$E$12+1,1))</f>
        <v>119.62076457560073</v>
      </c>
      <c r="CE31" s="59">
        <f t="shared" si="40"/>
        <v>72.011647893875363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4.8</v>
      </c>
      <c r="CT31" s="12">
        <f>IF('Données projet'!$A$140&gt;35,CT30+CS31-DB30,IF(A31&lt;'Données projet'!$A$140,$CQ$205^A31,IF(A31='Données projet'!$A$140,'Données projet'!$B$140,CT30+CS31-DB30)))</f>
        <v>44.399999999999991</v>
      </c>
      <c r="CU31" s="17">
        <f>CT31*VLOOKUP('Données projet'!$B$13,Paramètres!$A$1:$I$89,3,0)*VLOOKUP('Données projet'!$B$13,Paramètres!$A$1:$I$89,5,0)</f>
        <v>47.792159999999988</v>
      </c>
      <c r="CV31" s="13">
        <f t="shared" si="41"/>
        <v>14.042085367056567</v>
      </c>
      <c r="CW31" s="20">
        <f t="shared" si="13"/>
        <v>107.69464401429015</v>
      </c>
      <c r="CX31" s="59">
        <f t="shared" si="14"/>
        <v>401.02797734762345</v>
      </c>
      <c r="CY31" s="59">
        <f ca="1">AVERAGE(OFFSET($CX$3,0,0,'Données projet'!$E$13+1,1))-AVERAGE(OFFSET($H$3,0,0,'Données projet'!$E$13+1,1))</f>
        <v>150.9416300233616</v>
      </c>
      <c r="CZ31" s="59">
        <f t="shared" si="42"/>
        <v>92.286636088269972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16.2</v>
      </c>
      <c r="DO31" s="12">
        <f>IF('Données projet'!$A$166&gt;35,DO30+DN31-DW30,IF(A31&lt;'Données projet'!$A$166,$DL$205^A31,IF(A31='Données projet'!$A$166,'Données projet'!$B$166,DO30+DN31-DW30)))</f>
        <v>182.6</v>
      </c>
      <c r="DP31" s="17">
        <f>DO31*VLOOKUP('Données projet'!$B$14,Paramètres!$A$1:$I$89,3,0)*VLOOKUP('Données projet'!$B$14,Paramètres!$A$1:$I$89,5,0)</f>
        <v>109.1948</v>
      </c>
      <c r="DQ31" s="13">
        <f t="shared" si="43"/>
        <v>29.141192129605439</v>
      </c>
      <c r="DR31" s="20">
        <f t="shared" si="16"/>
        <v>240.93518629239611</v>
      </c>
      <c r="DS31" s="59">
        <f t="shared" si="17"/>
        <v>534.26851962572937</v>
      </c>
      <c r="DT31" s="59">
        <f ca="1">AVERAGE(OFFSET($DS$3,0,0,'Données projet'!$E$14+1,1))-AVERAGE(OFFSET($H$3,0,0,'Données projet'!$E$14+1,1))</f>
        <v>249.22792522076639</v>
      </c>
      <c r="DU31" s="59">
        <f t="shared" si="44"/>
        <v>244.53725944480669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5.6399786934963272</v>
      </c>
      <c r="EB31" s="21">
        <f>EXP(-LN(2)/25)*EB30+(1-EXP(-LN(2)/25))/(LN(2)/25)*Calculateur!DW31*Calculateur!DY31*VLOOKUP('Données projet'!$B$14,Paramètres!$A$1:$I$89,3,0)*0.475*44/12</f>
        <v>8.3075160664745322</v>
      </c>
      <c r="EC31" s="21">
        <f>EXP(-LN(2)/2)*EC30+(1-EXP(-LN(2)/2))/(LN(2)/2)*DW31*DZ31*VLOOKUP('Données projet'!$B$14,Paramètres!$A$1:$I$89,3,0)*0.475*44/12</f>
        <v>3.4574086682271079</v>
      </c>
      <c r="ED31" s="22">
        <f t="shared" si="18"/>
        <v>17.404903428197965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33.6</v>
      </c>
      <c r="EJ31" s="12">
        <f>IF('Données projet'!$A$192&gt;35,EJ30+EI31-ER30,IF(A31&lt;'Données projet'!$A$192,$EG$205^A31,IF(A31='Données projet'!$A$192,'Données projet'!$B$192,EJ30+EI31-ER30)))</f>
        <v>325.80000000000007</v>
      </c>
      <c r="EK31" s="17">
        <f>EJ31*VLOOKUP('Données projet'!$B$15,Paramètres!$A$1:$I$89,3,0)*VLOOKUP('Données projet'!$B$15,Paramètres!$A$1:$I$89,5,0)</f>
        <v>182.12220000000005</v>
      </c>
      <c r="EL31" s="13">
        <f t="shared" si="45"/>
        <v>45.79401400077213</v>
      </c>
      <c r="EM31" s="20">
        <f t="shared" si="19"/>
        <v>396.9540727180115</v>
      </c>
      <c r="EN31" s="59">
        <f t="shared" si="20"/>
        <v>690.28740605134476</v>
      </c>
      <c r="EO31" s="59">
        <f ca="1">AVERAGE(OFFSET($EN$3,0,0,'Données projet'!$E$15+1,1))-AVERAGE(OFFSET($H$3,0,0,'Données projet'!$E$15+1,1))</f>
        <v>313.36787814924116</v>
      </c>
      <c r="EP31" s="59">
        <f t="shared" si="46"/>
        <v>438.72984487610216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35.404293022946916</v>
      </c>
      <c r="EW31" s="21">
        <f>EXP(-LN(2)/25)*EW30+(1-EXP(-LN(2)/25))/(LN(2)/25)*Calculateur!ER31*Calculateur!ET31*VLOOKUP('Données projet'!$B$15,Paramètres!$A$1:$I$89,3,0)*0.475*44/12</f>
        <v>23.866062195554495</v>
      </c>
      <c r="EX31" s="21">
        <f>EXP(-LN(2)/2)*EX30+(1-EXP(-LN(2)/2))/(LN(2)/2)*ER31*EU31*VLOOKUP('Données projet'!$B$15,Paramètres!$A$1:$I$89,3,0)*0.475*44/12</f>
        <v>5.1082951517659634</v>
      </c>
      <c r="EY31" s="22">
        <f t="shared" si="21"/>
        <v>64.378650370267366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4.8</v>
      </c>
      <c r="N32" s="13">
        <f>IF('Données projet'!$A$36&gt;35,N31+M32-V31,IF(A32&lt;'Données projet'!$A$36,$K$205^A32,IF(A32='Données projet'!$A$36,'Données projet'!$B$36,N31+M32-V31)))</f>
        <v>49.199999999999989</v>
      </c>
      <c r="O32" s="13">
        <f>N32*VLOOKUP('Données projet'!$B$9,Paramètres!$A$1:$I$89,3,0)*VLOOKUP('Données projet'!$B$9,Paramètres!$A$1:$I$89,5,0)</f>
        <v>44.516159999999985</v>
      </c>
      <c r="P32" s="13">
        <f t="shared" si="33"/>
        <v>13.188102074986608</v>
      </c>
      <c r="Q32" s="20">
        <f t="shared" si="2"/>
        <v>100.50158978060165</v>
      </c>
      <c r="R32" s="59">
        <f t="shared" si="0"/>
        <v>393.83492311393496</v>
      </c>
      <c r="S32" s="59">
        <f ca="1">AVERAGE(OFFSET($R$3,0,0,'Données projet'!$E$9+1,1))-AVERAGE(OFFSET($H$3,0,0,'Données projet'!$E$9+1,1))</f>
        <v>173.91998182168385</v>
      </c>
      <c r="T32" s="59">
        <f t="shared" si="34"/>
        <v>72.011647893875363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4.8</v>
      </c>
      <c r="AI32" s="13">
        <f>IF('Données projet'!$A$62&gt;35,AI31+AH32-AQ31,IF(A32&lt;'Données projet'!$A$62,$AF$205^A32,IF(A32='Données projet'!$A$62,'Données projet'!$B$62,AI31+AH32-AQ31)))</f>
        <v>49.199999999999989</v>
      </c>
      <c r="AJ32" s="13">
        <f>AI32*VLOOKUP('Données projet'!$B$10,Paramètres!$A$1:$I$89,3,0)*VLOOKUP('Données projet'!$B$10,Paramètres!$A$1:$I$89,5,0)</f>
        <v>52.958879999999979</v>
      </c>
      <c r="AK32" s="13">
        <f t="shared" si="35"/>
        <v>15.375327718852537</v>
      </c>
      <c r="AL32" s="20">
        <f t="shared" si="4"/>
        <v>119.01541177700146</v>
      </c>
      <c r="AM32" s="59">
        <f t="shared" si="5"/>
        <v>412.34874511033479</v>
      </c>
      <c r="AN32" s="59">
        <f ca="1">AVERAGE(OFFSET($AM$3,0,0,'Données projet'!$E$10+1,1))-AVERAGE(OFFSET($H$3,0,0,'Données projet'!$E$10+1,1))</f>
        <v>150.9416300233616</v>
      </c>
      <c r="AO32" s="59">
        <f t="shared" si="36"/>
        <v>92.286636088269972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4.8</v>
      </c>
      <c r="BD32" s="12">
        <f>IF('Données projet'!$A$88&gt;35,BD31+BC32-BL31,IF(A32&lt;'Données projet'!$A$88,$BA$205^A32,IF(A32='Données projet'!$A$88,'Données projet'!$B$88,BD31+BC32-BL31)))</f>
        <v>49.199999999999989</v>
      </c>
      <c r="BE32" s="13">
        <f>BD32*VLOOKUP('Données projet'!$B$11,Paramètres!$A$1:$I$89,3,0)*VLOOKUP('Données projet'!$B$11,Paramètres!$A$1:$I$89,5,0)</f>
        <v>47.586239999999989</v>
      </c>
      <c r="BF32" s="13">
        <f t="shared" si="37"/>
        <v>13.98861191110446</v>
      </c>
      <c r="BG32" s="20">
        <f t="shared" si="7"/>
        <v>107.2428670785069</v>
      </c>
      <c r="BH32" s="59">
        <f t="shared" si="8"/>
        <v>400.5762004118402</v>
      </c>
      <c r="BI32" s="59">
        <f ca="1">AVERAGE(OFFSET($BH$3,0,0,'Données projet'!$E$11+1,1))-AVERAGE(OFFSET($H$3,0,0,'Données projet'!$E$11+1,1))</f>
        <v>131.02416800340484</v>
      </c>
      <c r="BJ32" s="59">
        <f t="shared" si="38"/>
        <v>79.394119001888555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4.8</v>
      </c>
      <c r="BY32" s="12">
        <f>IF('Données projet'!$A$114&gt;35,BY31+BX32-CG31,IF(A32&lt;'Données projet'!$A$114,$BV$205^A32,IF(A32='Données projet'!$A$114,'Données projet'!$B$114,BY31+BX32-CG31)))</f>
        <v>49.199999999999989</v>
      </c>
      <c r="BZ32" s="13">
        <f>BY32*VLOOKUP('Données projet'!$B$12,Paramètres!$A$1:$I$89,3,0)*VLOOKUP('Données projet'!$B$12,Paramètres!$A$1:$I$89,5,0)</f>
        <v>44.516159999999985</v>
      </c>
      <c r="CA32" s="13">
        <f t="shared" si="39"/>
        <v>13.188102074986608</v>
      </c>
      <c r="CB32" s="20">
        <f t="shared" si="10"/>
        <v>100.50158978060165</v>
      </c>
      <c r="CC32" s="59">
        <f t="shared" si="11"/>
        <v>393.83492311393496</v>
      </c>
      <c r="CD32" s="59">
        <f ca="1">AVERAGE(OFFSET($CC$3,0,0,'Données projet'!$E$12+1,1))-AVERAGE(OFFSET($H$3,0,0,'Données projet'!$E$12+1,1))</f>
        <v>119.62076457560073</v>
      </c>
      <c r="CE32" s="59">
        <f t="shared" si="40"/>
        <v>72.011647893875363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4.8</v>
      </c>
      <c r="CT32" s="12">
        <f>IF('Données projet'!$A$140&gt;35,CT31+CS32-DB31,IF(A32&lt;'Données projet'!$A$140,$CQ$205^A32,IF(A32='Données projet'!$A$140,'Données projet'!$B$140,CT31+CS32-DB31)))</f>
        <v>49.199999999999989</v>
      </c>
      <c r="CU32" s="17">
        <f>CT32*VLOOKUP('Données projet'!$B$13,Paramètres!$A$1:$I$89,3,0)*VLOOKUP('Données projet'!$B$13,Paramètres!$A$1:$I$89,5,0)</f>
        <v>52.958879999999979</v>
      </c>
      <c r="CV32" s="13">
        <f t="shared" si="41"/>
        <v>15.375327718852537</v>
      </c>
      <c r="CW32" s="20">
        <f t="shared" si="13"/>
        <v>119.01541177700146</v>
      </c>
      <c r="CX32" s="59">
        <f t="shared" si="14"/>
        <v>412.34874511033479</v>
      </c>
      <c r="CY32" s="59">
        <f ca="1">AVERAGE(OFFSET($CX$3,0,0,'Données projet'!$E$13+1,1))-AVERAGE(OFFSET($H$3,0,0,'Données projet'!$E$13+1,1))</f>
        <v>150.9416300233616</v>
      </c>
      <c r="CZ32" s="59">
        <f t="shared" si="42"/>
        <v>92.286636088269972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16.2</v>
      </c>
      <c r="DO32" s="12">
        <f>IF('Données projet'!$A$166&gt;35,DO31+DN32-DW31,IF(A32&lt;'Données projet'!$A$166,$DL$205^A32,IF(A32='Données projet'!$A$166,'Données projet'!$B$166,DO31+DN32-DW31)))</f>
        <v>198.79999999999998</v>
      </c>
      <c r="DP32" s="17">
        <f>DO32*VLOOKUP('Données projet'!$B$14,Paramètres!$A$1:$I$89,3,0)*VLOOKUP('Données projet'!$B$14,Paramètres!$A$1:$I$89,5,0)</f>
        <v>118.88239999999999</v>
      </c>
      <c r="DQ32" s="13">
        <f t="shared" si="43"/>
        <v>31.414195666990082</v>
      </c>
      <c r="DR32" s="20">
        <f t="shared" si="16"/>
        <v>261.76657078667432</v>
      </c>
      <c r="DS32" s="59">
        <f t="shared" si="17"/>
        <v>555.09990412000764</v>
      </c>
      <c r="DT32" s="59">
        <f ca="1">AVERAGE(OFFSET($DS$3,0,0,'Données projet'!$E$14+1,1))-AVERAGE(OFFSET($H$3,0,0,'Données projet'!$E$14+1,1))</f>
        <v>249.22792522076639</v>
      </c>
      <c r="DU32" s="59">
        <f t="shared" si="44"/>
        <v>244.53725944480669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5.5293821513641905</v>
      </c>
      <c r="EB32" s="21">
        <f>EXP(-LN(2)/25)*EB31+(1-EXP(-LN(2)/25))/(LN(2)/25)*Calculateur!DW32*Calculateur!DY32*VLOOKUP('Données projet'!$B$14,Paramètres!$A$1:$I$89,3,0)*0.475*44/12</f>
        <v>8.0803466027635036</v>
      </c>
      <c r="EC32" s="21">
        <f>EXP(-LN(2)/2)*EC31+(1-EXP(-LN(2)/2))/(LN(2)/2)*DW32*DZ32*VLOOKUP('Données projet'!$B$14,Paramètres!$A$1:$I$89,3,0)*0.475*44/12</f>
        <v>2.4447571146365386</v>
      </c>
      <c r="ED32" s="22">
        <f t="shared" si="18"/>
        <v>16.054485868764232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33.6</v>
      </c>
      <c r="EJ32" s="12">
        <f>IF('Données projet'!$A$192&gt;35,EJ31+EI32-ER31,IF(A32&lt;'Données projet'!$A$192,$EG$205^A32,IF(A32='Données projet'!$A$192,'Données projet'!$B$192,EJ31+EI32-ER31)))</f>
        <v>359.40000000000009</v>
      </c>
      <c r="EK32" s="17">
        <f>EJ32*VLOOKUP('Données projet'!$B$15,Paramètres!$A$1:$I$89,3,0)*VLOOKUP('Données projet'!$B$15,Paramètres!$A$1:$I$89,5,0)</f>
        <v>200.90460000000004</v>
      </c>
      <c r="EL32" s="13">
        <f t="shared" si="45"/>
        <v>49.942919180931142</v>
      </c>
      <c r="EM32" s="20">
        <f t="shared" si="19"/>
        <v>436.89276257345506</v>
      </c>
      <c r="EN32" s="59">
        <f t="shared" si="20"/>
        <v>730.22609590678837</v>
      </c>
      <c r="EO32" s="59">
        <f ca="1">AVERAGE(OFFSET($EN$3,0,0,'Données projet'!$E$15+1,1))-AVERAGE(OFFSET($H$3,0,0,'Données projet'!$E$15+1,1))</f>
        <v>313.36787814924116</v>
      </c>
      <c r="EP32" s="59">
        <f t="shared" si="46"/>
        <v>438.72984487610216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34.710036431253393</v>
      </c>
      <c r="EW32" s="21">
        <f>EXP(-LN(2)/25)*EW31+(1-EXP(-LN(2)/25))/(LN(2)/25)*Calculateur!ER32*Calculateur!ET32*VLOOKUP('Données projet'!$B$15,Paramètres!$A$1:$I$89,3,0)*0.475*44/12</f>
        <v>23.213443469755394</v>
      </c>
      <c r="EX32" s="21">
        <f>EXP(-LN(2)/2)*EX31+(1-EXP(-LN(2)/2))/(LN(2)/2)*ER32*EU32*VLOOKUP('Données projet'!$B$15,Paramètres!$A$1:$I$89,3,0)*0.475*44/12</f>
        <v>3.6121101421160771</v>
      </c>
      <c r="EY32" s="22">
        <f t="shared" si="21"/>
        <v>61.53559004312487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54</v>
      </c>
      <c r="L33" s="12">
        <f>VLOOKUP(A33,'Données projet'!$A$35:$I$55,9,0)</f>
        <v>4.8</v>
      </c>
      <c r="M33" s="12">
        <f t="array" ref="M33">INDEX(L:L,MIN(IF(ISNUMBER(L33:L229),ROW(L33:L229),"")))</f>
        <v>4.8</v>
      </c>
      <c r="N33" s="13">
        <f>IF('Données projet'!$A$36&gt;35,N32+M33-V32,IF(A33&lt;'Données projet'!$A$36,$K$205^A33,IF(A33='Données projet'!$A$36,'Données projet'!$B$36,N32+M33-V32)))</f>
        <v>53.999999999999986</v>
      </c>
      <c r="O33" s="13">
        <f>N33*VLOOKUP('Données projet'!$B$9,Paramètres!$A$1:$I$89,3,0)*VLOOKUP('Données projet'!$B$9,Paramètres!$A$1:$I$89,5,0)</f>
        <v>48.859199999999987</v>
      </c>
      <c r="P33" s="13">
        <f t="shared" si="33"/>
        <v>14.318748507569309</v>
      </c>
      <c r="Q33" s="20">
        <f t="shared" si="2"/>
        <v>110.03492698401652</v>
      </c>
      <c r="R33" s="59">
        <f t="shared" si="0"/>
        <v>403.36826031734984</v>
      </c>
      <c r="S33" s="59">
        <f ca="1">AVERAGE(OFFSET($R$3,0,0,'Données projet'!$E$9+1,1))-AVERAGE(OFFSET($H$3,0,0,'Données projet'!$E$9+1,1))</f>
        <v>173.91998182168385</v>
      </c>
      <c r="T33" s="59">
        <f t="shared" si="34"/>
        <v>72.011647893875363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54</v>
      </c>
      <c r="AG33" s="12">
        <f>VLOOKUP(A33,'Données projet'!$A$61:$I$81,9,0)</f>
        <v>4.8</v>
      </c>
      <c r="AH33" s="12">
        <f t="array" ref="AH33">INDEX(AG:AG,MIN(IF(ISNUMBER(AG33:AG229),ROW(AG33:AG229),"")))</f>
        <v>4.8</v>
      </c>
      <c r="AI33" s="13">
        <f>IF('Données projet'!$A$62&gt;35,AI32+AH33-AQ32,IF(A33&lt;'Données projet'!$A$62,$AF$205^A33,IF(A33='Données projet'!$A$62,'Données projet'!$B$62,AI32+AH33-AQ32)))</f>
        <v>53.999999999999986</v>
      </c>
      <c r="AJ33" s="13">
        <f>AI33*VLOOKUP('Données projet'!$B$10,Paramètres!$A$1:$I$89,3,0)*VLOOKUP('Données projet'!$B$10,Paramètres!$A$1:$I$89,5,0)</f>
        <v>58.125599999999977</v>
      </c>
      <c r="AK33" s="13">
        <f t="shared" si="35"/>
        <v>16.693490054590161</v>
      </c>
      <c r="AL33" s="20">
        <f t="shared" si="4"/>
        <v>130.30991517841116</v>
      </c>
      <c r="AM33" s="59">
        <f t="shared" si="5"/>
        <v>423.64324851174445</v>
      </c>
      <c r="AN33" s="59">
        <f ca="1">AVERAGE(OFFSET($AM$3,0,0,'Données projet'!$E$10+1,1))-AVERAGE(OFFSET($H$3,0,0,'Données projet'!$E$10+1,1))</f>
        <v>150.9416300233616</v>
      </c>
      <c r="AO33" s="59">
        <f t="shared" si="36"/>
        <v>92.286636088269972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54</v>
      </c>
      <c r="BB33" s="12">
        <f>VLOOKUP(A33,'Données projet'!$A$87:$I$107,9,0)</f>
        <v>4.8</v>
      </c>
      <c r="BC33" s="12">
        <f t="array" ref="BC33">INDEX(BB:BB,MIN(IF(ISNUMBER(BB33:BB229),ROW(BB33:BB229),"")))</f>
        <v>4.8</v>
      </c>
      <c r="BD33" s="12">
        <f>IF('Données projet'!$A$88&gt;35,BD32+BC33-BL32,IF(A33&lt;'Données projet'!$A$88,$BA$205^A33,IF(A33='Données projet'!$A$88,'Données projet'!$B$88,BD32+BC33-BL32)))</f>
        <v>53.999999999999986</v>
      </c>
      <c r="BE33" s="13">
        <f>BD33*VLOOKUP('Données projet'!$B$11,Paramètres!$A$1:$I$89,3,0)*VLOOKUP('Données projet'!$B$11,Paramètres!$A$1:$I$89,5,0)</f>
        <v>52.228799999999985</v>
      </c>
      <c r="BF33" s="13">
        <f t="shared" si="37"/>
        <v>15.187887899730002</v>
      </c>
      <c r="BG33" s="20">
        <f t="shared" si="7"/>
        <v>117.41739809202973</v>
      </c>
      <c r="BH33" s="59">
        <f t="shared" si="8"/>
        <v>410.75073142536303</v>
      </c>
      <c r="BI33" s="59">
        <f ca="1">AVERAGE(OFFSET($BH$3,0,0,'Données projet'!$E$11+1,1))-AVERAGE(OFFSET($H$3,0,0,'Données projet'!$E$11+1,1))</f>
        <v>131.02416800340484</v>
      </c>
      <c r="BJ33" s="59">
        <f t="shared" si="38"/>
        <v>79.394119001888555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54</v>
      </c>
      <c r="BW33" s="12">
        <f>VLOOKUP(A33,'Données projet'!$A$113:$I$133,9,0)</f>
        <v>4.8</v>
      </c>
      <c r="BX33" s="12">
        <f t="array" ref="BX33">INDEX(BW:BW,MIN(IF(ISNUMBER(BW33:BW229),ROW(BW33:BW229),"")))</f>
        <v>4.8</v>
      </c>
      <c r="BY33" s="12">
        <f>IF('Données projet'!$A$114&gt;35,BY32+BX33-CG32,IF(A33&lt;'Données projet'!$A$114,$BV$205^A33,IF(A33='Données projet'!$A$114,'Données projet'!$B$114,BY32+BX33-CG32)))</f>
        <v>53.999999999999986</v>
      </c>
      <c r="BZ33" s="13">
        <f>BY33*VLOOKUP('Données projet'!$B$12,Paramètres!$A$1:$I$89,3,0)*VLOOKUP('Données projet'!$B$12,Paramètres!$A$1:$I$89,5,0)</f>
        <v>48.859199999999987</v>
      </c>
      <c r="CA33" s="13">
        <f t="shared" si="39"/>
        <v>14.318748507569309</v>
      </c>
      <c r="CB33" s="20">
        <f t="shared" si="10"/>
        <v>110.03492698401652</v>
      </c>
      <c r="CC33" s="59">
        <f t="shared" si="11"/>
        <v>403.36826031734984</v>
      </c>
      <c r="CD33" s="59">
        <f ca="1">AVERAGE(OFFSET($CC$3,0,0,'Données projet'!$E$12+1,1))-AVERAGE(OFFSET($H$3,0,0,'Données projet'!$E$12+1,1))</f>
        <v>119.62076457560073</v>
      </c>
      <c r="CE33" s="59">
        <f t="shared" si="40"/>
        <v>72.011647893875363</v>
      </c>
      <c r="CF33" s="15">
        <f>IF(ISNA(VLOOKUP(A33,'Données projet'!$A$113:$I$133,3,0)),0,VLOOKUP(A33,'Données projet'!$A$113:$I$133,3,0))</f>
        <v>2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54</v>
      </c>
      <c r="CR33" s="12">
        <f>VLOOKUP(A33,'Données projet'!$A$139:$I$159,9,0)</f>
        <v>4.8</v>
      </c>
      <c r="CS33" s="12">
        <f t="array" ref="CS33">INDEX(CR:CR,MIN(IF(ISNUMBER(CR33:CR229),ROW(CR33:CR229),"")))</f>
        <v>4.8</v>
      </c>
      <c r="CT33" s="12">
        <f>IF('Données projet'!$A$140&gt;35,CT32+CS33-DB32,IF(A33&lt;'Données projet'!$A$140,$CQ$205^A33,IF(A33='Données projet'!$A$140,'Données projet'!$B$140,CT32+CS33-DB32)))</f>
        <v>53.999999999999986</v>
      </c>
      <c r="CU33" s="17">
        <f>CT33*VLOOKUP('Données projet'!$B$13,Paramètres!$A$1:$I$89,3,0)*VLOOKUP('Données projet'!$B$13,Paramètres!$A$1:$I$89,5,0)</f>
        <v>58.125599999999977</v>
      </c>
      <c r="CV33" s="13">
        <f t="shared" si="41"/>
        <v>16.693490054590161</v>
      </c>
      <c r="CW33" s="20">
        <f t="shared" si="13"/>
        <v>130.30991517841116</v>
      </c>
      <c r="CX33" s="59">
        <f t="shared" si="14"/>
        <v>423.64324851174445</v>
      </c>
      <c r="CY33" s="59">
        <f ca="1">AVERAGE(OFFSET($CX$3,0,0,'Données projet'!$E$13+1,1))-AVERAGE(OFFSET($H$3,0,0,'Données projet'!$E$13+1,1))</f>
        <v>150.9416300233616</v>
      </c>
      <c r="CZ33" s="59">
        <f t="shared" si="42"/>
        <v>92.286636088269972</v>
      </c>
      <c r="DA33" s="15">
        <f>IF(ISNA(VLOOKUP(A33,'Données projet'!$A$139:$I$159,3,0)),0,VLOOKUP(A33,'Données projet'!$A$139:$I$159,3,0))</f>
        <v>2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215</v>
      </c>
      <c r="DM33" s="12">
        <f>VLOOKUP(A33,'Données projet'!$A$165:$I$185,9,0)</f>
        <v>16.2</v>
      </c>
      <c r="DN33" s="12">
        <f t="array" ref="DN33">INDEX(DM:DM,MIN(IF(ISNUMBER(DM33:DM229),ROW(DM33:DM229),"")))</f>
        <v>16.2</v>
      </c>
      <c r="DO33" s="12">
        <f>IF('Données projet'!$A$166&gt;35,DO32+DN33-DW32,IF(A33&lt;'Données projet'!$A$166,$DL$205^A33,IF(A33='Données projet'!$A$166,'Données projet'!$B$166,DO32+DN33-DW32)))</f>
        <v>214.99999999999997</v>
      </c>
      <c r="DP33" s="17">
        <f>DO33*VLOOKUP('Données projet'!$B$14,Paramètres!$A$1:$I$89,3,0)*VLOOKUP('Données projet'!$B$14,Paramètres!$A$1:$I$89,5,0)</f>
        <v>128.57</v>
      </c>
      <c r="DQ33" s="13">
        <f t="shared" si="43"/>
        <v>33.665715905233249</v>
      </c>
      <c r="DR33" s="20">
        <f t="shared" si="16"/>
        <v>282.56053853494785</v>
      </c>
      <c r="DS33" s="59">
        <f t="shared" si="17"/>
        <v>575.89387186828117</v>
      </c>
      <c r="DT33" s="59">
        <f ca="1">AVERAGE(OFFSET($DS$3,0,0,'Données projet'!$E$14+1,1))-AVERAGE(OFFSET($H$3,0,0,'Données projet'!$E$14+1,1))</f>
        <v>249.22792522076639</v>
      </c>
      <c r="DU33" s="59">
        <f t="shared" si="44"/>
        <v>244.53725944480669</v>
      </c>
      <c r="DV33" s="15">
        <f>IF(ISNA(VLOOKUP(A33,'Données projet'!$A$165:$I$185,3,0)),0,VLOOKUP(A33,'Données projet'!$A$165:$I$185,3,0))</f>
        <v>4</v>
      </c>
      <c r="DW33" s="15">
        <f>IF(ISNA(VLOOKUP(A33,'Données projet'!$A$165:$I$185,4,0)),0,VLOOKUP(A33,'Données projet'!$A$165:$I$185,4,0))</f>
        <v>42</v>
      </c>
      <c r="DX33" s="16">
        <f>IF(ISNA(VLOOKUP(A33,'Données projet'!$A$165:$I$185,5,0)),0%,VLOOKUP(A33,'Données projet'!$A$165:$I$185,5,0)*VLOOKUP('Données projet'!$B$14,Paramètres!$A$1:$I$89,7,0))</f>
        <v>0.18000000000000002</v>
      </c>
      <c r="DY33" s="16">
        <f>IF(ISNA(VLOOKUP(A33,'Données projet'!$A$165:$I$185,6,0)),0%,VLOOKUP(A33,'Données projet'!$A$165:$I$185,6,0)*VLOOKUP('Données projet'!$B$14,Paramètres!$A$1:$I$89,7,0))</f>
        <v>0.15300000000000002</v>
      </c>
      <c r="DZ33" s="16">
        <f>IF(ISNA(VLOOKUP(A33,'Données projet'!$A$165:$I$185,7,0)),0%,VLOOKUP(A33,'Données projet'!$A$165:$I$185,7,0))</f>
        <v>0.26</v>
      </c>
      <c r="EA33" s="21">
        <f>EXP(-LN(2)/35)*EA32+(1-EXP(-LN(2)/35))/(LN(2)/35)*DW33*DX33*VLOOKUP('Données projet'!$B$14,Paramètres!$A$1:$I$89,3,0)*0.475*44/12</f>
        <v>11.418193055273544</v>
      </c>
      <c r="EB33" s="21">
        <f>EXP(-LN(2)/25)*EB32+(1-EXP(-LN(2)/25))/(LN(2)/25)*Calculateur!DW33*Calculateur!DY33*VLOOKUP('Données projet'!$B$14,Paramètres!$A$1:$I$89,3,0)*0.475*44/12</f>
        <v>12.936970606138482</v>
      </c>
      <c r="EC33" s="21">
        <f>EXP(-LN(2)/2)*EC32+(1-EXP(-LN(2)/2))/(LN(2)/2)*DW33*DZ33*VLOOKUP('Données projet'!$B$14,Paramètres!$A$1:$I$89,3,0)*0.475*44/12</f>
        <v>9.1223623941289809</v>
      </c>
      <c r="ED33" s="22">
        <f t="shared" si="18"/>
        <v>33.477526055541006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393</v>
      </c>
      <c r="EH33" s="12">
        <f>VLOOKUP(A33,'Données projet'!$A$191:$I$211,9,0)</f>
        <v>33.6</v>
      </c>
      <c r="EI33" s="12">
        <f t="array" ref="EI33">INDEX(EH:EH,MIN(IF(ISNUMBER(EH33:EH229),ROW(EH33:EH229),"")))</f>
        <v>33.6</v>
      </c>
      <c r="EJ33" s="12">
        <f>IF('Données projet'!$A$192&gt;35,EJ32+EI33-ER32,IF(A33&lt;'Données projet'!$A$192,$EG$205^A33,IF(A33='Données projet'!$A$192,'Données projet'!$B$192,EJ32+EI33-ER32)))</f>
        <v>393.00000000000011</v>
      </c>
      <c r="EK33" s="17">
        <f>EJ33*VLOOKUP('Données projet'!$B$15,Paramètres!$A$1:$I$89,3,0)*VLOOKUP('Données projet'!$B$15,Paramètres!$A$1:$I$89,5,0)</f>
        <v>219.68700000000007</v>
      </c>
      <c r="EL33" s="13">
        <f t="shared" si="45"/>
        <v>54.046851081096591</v>
      </c>
      <c r="EM33" s="20">
        <f t="shared" si="19"/>
        <v>476.75312396624332</v>
      </c>
      <c r="EN33" s="59">
        <f t="shared" si="20"/>
        <v>770.08645729957664</v>
      </c>
      <c r="EO33" s="59">
        <f ca="1">AVERAGE(OFFSET($EN$3,0,0,'Données projet'!$E$15+1,1))-AVERAGE(OFFSET($H$3,0,0,'Données projet'!$E$15+1,1))</f>
        <v>313.36787814924116</v>
      </c>
      <c r="EP33" s="59">
        <f t="shared" si="46"/>
        <v>438.72984487610216</v>
      </c>
      <c r="EQ33" s="15">
        <f>IF(ISNA(VLOOKUP(A33,'Données projet'!$A$191:$I$211,3,0)),0,VLOOKUP(A33,'Données projet'!$A$191:$I$211,3,0))</f>
        <v>5</v>
      </c>
      <c r="ER33" s="15">
        <f>IF(ISNA(VLOOKUP(A33,'Données projet'!$A$191:$I$211,4,0)),0,VLOOKUP(A33,'Données projet'!$A$191:$I$211,4,0))</f>
        <v>84</v>
      </c>
      <c r="ES33" s="16">
        <f>IF(ISNA(VLOOKUP(A33,'Données projet'!$A$191:$I$211,5,0)),0%,VLOOKUP(A33,'Données projet'!$A$191:$I$211,5,0)*VLOOKUP('Données projet'!$B$15,Paramètres!$A$1:$I$89,7,0))</f>
        <v>0.27500000000000002</v>
      </c>
      <c r="ET33" s="16">
        <f>IF(ISNA(VLOOKUP(A33,'Données projet'!$A$191:$I$211,6,0)),0%,VLOOKUP(A33,'Données projet'!$A$191:$I$211,6,0)*VLOOKUP('Données projet'!$B$15,Paramètres!$A$1:$I$89,7,0))</f>
        <v>0.15400000000000003</v>
      </c>
      <c r="EU33" s="16">
        <f>IF(ISNA(VLOOKUP(A33,'Données projet'!$A$191:$I$211,7,0)),0%,VLOOKUP(A33,'Données projet'!$A$191:$I$211,7,0))</f>
        <v>0.22</v>
      </c>
      <c r="EV33" s="21">
        <f>EXP(-LN(2)/35)*EV32+(1-EXP(-LN(2)/35))/(LN(2)/35)*ER33*ES33*VLOOKUP('Données projet'!$B$15,Paramètres!$A$1:$I$89,3,0)*0.475*44/12</f>
        <v>51.159187944513519</v>
      </c>
      <c r="EW33" s="21">
        <f>EXP(-LN(2)/25)*EW32+(1-EXP(-LN(2)/25))/(LN(2)/25)*Calculateur!ER33*Calculateur!ET33*VLOOKUP('Données projet'!$B$15,Paramètres!$A$1:$I$89,3,0)*0.475*44/12</f>
        <v>32.133585310181857</v>
      </c>
      <c r="EX33" s="21">
        <f>EXP(-LN(2)/2)*EX32+(1-EXP(-LN(2)/2))/(LN(2)/2)*ER33*EU33*VLOOKUP('Données projet'!$B$15,Paramètres!$A$1:$I$89,3,0)*0.475*44/12</f>
        <v>14.250469523666585</v>
      </c>
      <c r="EY33" s="22">
        <f t="shared" si="21"/>
        <v>97.543242778361957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5</v>
      </c>
      <c r="N34" s="13">
        <f>IF('Données projet'!$A$36&gt;35,N33+M34-V33,IF(A34&lt;'Données projet'!$A$36,$K$205^A34,IF(A34='Données projet'!$A$36,'Données projet'!$B$36,N33+M34-V33)))</f>
        <v>58.999999999999986</v>
      </c>
      <c r="O34" s="13">
        <f>N34*VLOOKUP('Données projet'!$B$9,Paramètres!$A$1:$I$89,3,0)*VLOOKUP('Données projet'!$B$9,Paramètres!$A$1:$I$89,5,0)</f>
        <v>53.383199999999988</v>
      </c>
      <c r="P34" s="13">
        <f t="shared" si="33"/>
        <v>15.484128706113934</v>
      </c>
      <c r="Q34" s="20">
        <f t="shared" si="2"/>
        <v>119.94393082981507</v>
      </c>
      <c r="R34" s="59">
        <f t="shared" si="0"/>
        <v>413.2772641631484</v>
      </c>
      <c r="S34" s="59">
        <f ca="1">AVERAGE(OFFSET($R$3,0,0,'Données projet'!$E$9+1,1))-AVERAGE(OFFSET($H$3,0,0,'Données projet'!$E$9+1,1))</f>
        <v>173.91998182168385</v>
      </c>
      <c r="T34" s="59">
        <f t="shared" si="34"/>
        <v>72.011647893875363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5</v>
      </c>
      <c r="AI34" s="13">
        <f>IF('Données projet'!$A$62&gt;35,AI33+AH34-AQ33,IF(A34&lt;'Données projet'!$A$62,$AF$205^A34,IF(A34='Données projet'!$A$62,'Données projet'!$B$62,AI33+AH34-AQ33)))</f>
        <v>58.999999999999986</v>
      </c>
      <c r="AJ34" s="13">
        <f>AI34*VLOOKUP('Données projet'!$B$10,Paramètres!$A$1:$I$89,3,0)*VLOOKUP('Données projet'!$B$10,Paramètres!$A$1:$I$89,5,0)</f>
        <v>63.507599999999982</v>
      </c>
      <c r="AK34" s="13">
        <f t="shared" si="35"/>
        <v>18.052146695841799</v>
      </c>
      <c r="AL34" s="20">
        <f t="shared" si="4"/>
        <v>142.04989216192442</v>
      </c>
      <c r="AM34" s="59">
        <f t="shared" si="5"/>
        <v>435.38322549525776</v>
      </c>
      <c r="AN34" s="59">
        <f ca="1">AVERAGE(OFFSET($AM$3,0,0,'Données projet'!$E$10+1,1))-AVERAGE(OFFSET($H$3,0,0,'Données projet'!$E$10+1,1))</f>
        <v>150.9416300233616</v>
      </c>
      <c r="AO34" s="59">
        <f t="shared" si="36"/>
        <v>92.286636088269972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5</v>
      </c>
      <c r="BD34" s="12">
        <f>IF('Données projet'!$A$88&gt;35,BD33+BC34-BL33,IF(A34&lt;'Données projet'!$A$88,$BA$205^A34,IF(A34='Données projet'!$A$88,'Données projet'!$B$88,BD33+BC34-BL33)))</f>
        <v>58.999999999999986</v>
      </c>
      <c r="BE34" s="13">
        <f>BD34*VLOOKUP('Données projet'!$B$11,Paramètres!$A$1:$I$89,3,0)*VLOOKUP('Données projet'!$B$11,Paramètres!$A$1:$I$89,5,0)</f>
        <v>57.064799999999991</v>
      </c>
      <c r="BF34" s="13">
        <f t="shared" si="37"/>
        <v>16.424005972947381</v>
      </c>
      <c r="BG34" s="20">
        <f t="shared" si="7"/>
        <v>127.99300373621668</v>
      </c>
      <c r="BH34" s="59">
        <f t="shared" si="8"/>
        <v>421.32633706954999</v>
      </c>
      <c r="BI34" s="59">
        <f ca="1">AVERAGE(OFFSET($BH$3,0,0,'Données projet'!$E$11+1,1))-AVERAGE(OFFSET($H$3,0,0,'Données projet'!$E$11+1,1))</f>
        <v>131.02416800340484</v>
      </c>
      <c r="BJ34" s="59">
        <f t="shared" si="38"/>
        <v>79.394119001888555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5</v>
      </c>
      <c r="BY34" s="12">
        <f>IF('Données projet'!$A$114&gt;35,BY33+BX34-CG33,IF(A34&lt;'Données projet'!$A$114,$BV$205^A34,IF(A34='Données projet'!$A$114,'Données projet'!$B$114,BY33+BX34-CG33)))</f>
        <v>58.999999999999986</v>
      </c>
      <c r="BZ34" s="13">
        <f>BY34*VLOOKUP('Données projet'!$B$12,Paramètres!$A$1:$I$89,3,0)*VLOOKUP('Données projet'!$B$12,Paramètres!$A$1:$I$89,5,0)</f>
        <v>53.383199999999988</v>
      </c>
      <c r="CA34" s="13">
        <f t="shared" si="39"/>
        <v>15.484128706113934</v>
      </c>
      <c r="CB34" s="20">
        <f t="shared" si="10"/>
        <v>119.94393082981507</v>
      </c>
      <c r="CC34" s="59">
        <f t="shared" si="11"/>
        <v>413.2772641631484</v>
      </c>
      <c r="CD34" s="59">
        <f ca="1">AVERAGE(OFFSET($CC$3,0,0,'Données projet'!$E$12+1,1))-AVERAGE(OFFSET($H$3,0,0,'Données projet'!$E$12+1,1))</f>
        <v>119.62076457560073</v>
      </c>
      <c r="CE34" s="59">
        <f t="shared" si="40"/>
        <v>72.011647893875363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5</v>
      </c>
      <c r="CT34" s="12">
        <f>IF('Données projet'!$A$140&gt;35,CT33+CS34-DB33,IF(A34&lt;'Données projet'!$A$140,$CQ$205^A34,IF(A34='Données projet'!$A$140,'Données projet'!$B$140,CT33+CS34-DB33)))</f>
        <v>58.999999999999986</v>
      </c>
      <c r="CU34" s="17">
        <f>CT34*VLOOKUP('Données projet'!$B$13,Paramètres!$A$1:$I$89,3,0)*VLOOKUP('Données projet'!$B$13,Paramètres!$A$1:$I$89,5,0)</f>
        <v>63.507599999999982</v>
      </c>
      <c r="CV34" s="13">
        <f t="shared" si="41"/>
        <v>18.052146695841799</v>
      </c>
      <c r="CW34" s="20">
        <f t="shared" si="13"/>
        <v>142.04989216192442</v>
      </c>
      <c r="CX34" s="59">
        <f t="shared" si="14"/>
        <v>435.38322549525776</v>
      </c>
      <c r="CY34" s="59">
        <f ca="1">AVERAGE(OFFSET($CX$3,0,0,'Données projet'!$E$13+1,1))-AVERAGE(OFFSET($H$3,0,0,'Données projet'!$E$13+1,1))</f>
        <v>150.9416300233616</v>
      </c>
      <c r="CZ34" s="59">
        <f t="shared" si="42"/>
        <v>92.286636088269972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16.399999999999999</v>
      </c>
      <c r="DO34" s="12">
        <f>IF('Données projet'!$A$166&gt;35,DO33+DN34-DW33,IF(A34&lt;'Données projet'!$A$166,$DL$205^A34,IF(A34='Données projet'!$A$166,'Données projet'!$B$166,DO33+DN34-DW33)))</f>
        <v>189.39999999999998</v>
      </c>
      <c r="DP34" s="17">
        <f>DO34*VLOOKUP('Données projet'!$B$14,Paramètres!$A$1:$I$89,3,0)*VLOOKUP('Données projet'!$B$14,Paramètres!$A$1:$I$89,5,0)</f>
        <v>113.2612</v>
      </c>
      <c r="DQ34" s="13">
        <f t="shared" si="43"/>
        <v>30.098037340507396</v>
      </c>
      <c r="DR34" s="20">
        <f t="shared" si="16"/>
        <v>249.68400503471705</v>
      </c>
      <c r="DS34" s="59">
        <f t="shared" si="17"/>
        <v>543.01733836805033</v>
      </c>
      <c r="DT34" s="59">
        <f ca="1">AVERAGE(OFFSET($DS$3,0,0,'Données projet'!$E$14+1,1))-AVERAGE(OFFSET($H$3,0,0,'Données projet'!$E$14+1,1))</f>
        <v>249.22792522076639</v>
      </c>
      <c r="DU34" s="59">
        <f t="shared" si="44"/>
        <v>244.53725944480669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11.194289253869716</v>
      </c>
      <c r="EB34" s="21">
        <f>EXP(-LN(2)/25)*EB33+(1-EXP(-LN(2)/25))/(LN(2)/25)*Calculateur!DW34*Calculateur!DY34*VLOOKUP('Données projet'!$B$14,Paramètres!$A$1:$I$89,3,0)*0.475*44/12</f>
        <v>12.583208464587909</v>
      </c>
      <c r="EC34" s="21">
        <f>EXP(-LN(2)/2)*EC33+(1-EXP(-LN(2)/2))/(LN(2)/2)*DW34*DZ34*VLOOKUP('Données projet'!$B$14,Paramètres!$A$1:$I$89,3,0)*0.475*44/12</f>
        <v>6.4504843093297515</v>
      </c>
      <c r="ED34" s="22">
        <f t="shared" si="18"/>
        <v>30.227982027787377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32.6</v>
      </c>
      <c r="EJ34" s="12">
        <f>IF('Données projet'!$A$192&gt;35,EJ33+EI34-ER33,IF(A34&lt;'Données projet'!$A$192,$EG$205^A34,IF(A34='Données projet'!$A$192,'Données projet'!$B$192,EJ33+EI34-ER33)))</f>
        <v>341.60000000000014</v>
      </c>
      <c r="EK34" s="17">
        <f>EJ34*VLOOKUP('Données projet'!$B$15,Paramètres!$A$1:$I$89,3,0)*VLOOKUP('Données projet'!$B$15,Paramètres!$A$1:$I$89,5,0)</f>
        <v>190.95440000000008</v>
      </c>
      <c r="EL34" s="13">
        <f t="shared" si="45"/>
        <v>47.750895568819487</v>
      </c>
      <c r="EM34" s="20">
        <f t="shared" si="19"/>
        <v>415.74505644902735</v>
      </c>
      <c r="EN34" s="59">
        <f t="shared" si="20"/>
        <v>709.07838978236066</v>
      </c>
      <c r="EO34" s="59">
        <f ca="1">AVERAGE(OFFSET($EN$3,0,0,'Données projet'!$E$15+1,1))-AVERAGE(OFFSET($H$3,0,0,'Données projet'!$E$15+1,1))</f>
        <v>313.36787814924116</v>
      </c>
      <c r="EP34" s="59">
        <f t="shared" si="46"/>
        <v>438.72984487610216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50.155987472945114</v>
      </c>
      <c r="EW34" s="21">
        <f>EXP(-LN(2)/25)*EW33+(1-EXP(-LN(2)/25))/(LN(2)/25)*Calculateur!ER34*Calculateur!ET34*VLOOKUP('Données projet'!$B$15,Paramètres!$A$1:$I$89,3,0)*0.475*44/12</f>
        <v>31.254890730043126</v>
      </c>
      <c r="EX34" s="21">
        <f>EXP(-LN(2)/2)*EX33+(1-EXP(-LN(2)/2))/(LN(2)/2)*ER34*EU34*VLOOKUP('Données projet'!$B$15,Paramètres!$A$1:$I$89,3,0)*0.475*44/12</f>
        <v>10.076603635276873</v>
      </c>
      <c r="EY34" s="22">
        <f t="shared" si="21"/>
        <v>91.487481838265111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5</v>
      </c>
      <c r="N35" s="13">
        <f>IF('Données projet'!$A$36&gt;35,N34+M35-V34,IF(A35&lt;'Données projet'!$A$36,$K$205^A35,IF(A35='Données projet'!$A$36,'Données projet'!$B$36,N34+M35-V34)))</f>
        <v>63.999999999999986</v>
      </c>
      <c r="O35" s="13">
        <f>N35*VLOOKUP('Données projet'!$B$9,Paramètres!$A$1:$I$89,3,0)*VLOOKUP('Données projet'!$B$9,Paramètres!$A$1:$I$89,5,0)</f>
        <v>57.907199999999989</v>
      </c>
      <c r="P35" s="13">
        <f t="shared" si="33"/>
        <v>16.638055172385986</v>
      </c>
      <c r="Q35" s="20">
        <f t="shared" ref="Q35:Q66" si="53">(O35+P35)*0.475*44/12</f>
        <v>129.83298609190555</v>
      </c>
      <c r="R35" s="59">
        <f t="shared" si="0"/>
        <v>423.16631942523884</v>
      </c>
      <c r="S35" s="59">
        <f ca="1">AVERAGE(OFFSET($R$3,0,0,'Données projet'!$E$9+1,1))-AVERAGE(OFFSET($H$3,0,0,'Données projet'!$E$9+1,1))</f>
        <v>173.91998182168385</v>
      </c>
      <c r="T35" s="59">
        <f t="shared" si="34"/>
        <v>72.011647893875363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5</v>
      </c>
      <c r="AI35" s="13">
        <f>IF('Données projet'!$A$62&gt;35,AI34+AH35-AQ34,IF(A35&lt;'Données projet'!$A$62,$AF$205^A35,IF(A35='Données projet'!$A$62,'Données projet'!$B$62,AI34+AH35-AQ34)))</f>
        <v>63.999999999999986</v>
      </c>
      <c r="AJ35" s="13">
        <f>AI35*VLOOKUP('Données projet'!$B$10,Paramètres!$A$1:$I$89,3,0)*VLOOKUP('Données projet'!$B$10,Paramètres!$A$1:$I$89,5,0)</f>
        <v>68.889599999999987</v>
      </c>
      <c r="AK35" s="13">
        <f t="shared" si="35"/>
        <v>19.397450021635805</v>
      </c>
      <c r="AL35" s="20">
        <f t="shared" si="4"/>
        <v>153.76661212101567</v>
      </c>
      <c r="AM35" s="59">
        <f t="shared" si="5"/>
        <v>447.09994545434898</v>
      </c>
      <c r="AN35" s="59">
        <f ca="1">AVERAGE(OFFSET($AM$3,0,0,'Données projet'!$E$10+1,1))-AVERAGE(OFFSET($H$3,0,0,'Données projet'!$E$10+1,1))</f>
        <v>150.9416300233616</v>
      </c>
      <c r="AO35" s="59">
        <f t="shared" si="36"/>
        <v>92.286636088269972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5</v>
      </c>
      <c r="BD35" s="12">
        <f>IF('Données projet'!$A$88&gt;35,BD34+BC35-BL34,IF(A35&lt;'Données projet'!$A$88,$BA$205^A35,IF(A35='Données projet'!$A$88,'Données projet'!$B$88,BD34+BC35-BL34)))</f>
        <v>63.999999999999986</v>
      </c>
      <c r="BE35" s="13">
        <f>BD35*VLOOKUP('Données projet'!$B$11,Paramètres!$A$1:$I$89,3,0)*VLOOKUP('Données projet'!$B$11,Paramètres!$A$1:$I$89,5,0)</f>
        <v>61.90079999999999</v>
      </c>
      <c r="BF35" s="13">
        <f t="shared" si="37"/>
        <v>17.647975079256284</v>
      </c>
      <c r="BG35" s="20">
        <f t="shared" si="7"/>
        <v>138.54744992970467</v>
      </c>
      <c r="BH35" s="59">
        <f t="shared" si="8"/>
        <v>431.88078326303798</v>
      </c>
      <c r="BI35" s="59">
        <f ca="1">AVERAGE(OFFSET($BH$3,0,0,'Données projet'!$E$11+1,1))-AVERAGE(OFFSET($H$3,0,0,'Données projet'!$E$11+1,1))</f>
        <v>131.02416800340484</v>
      </c>
      <c r="BJ35" s="59">
        <f t="shared" si="38"/>
        <v>79.394119001888555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5</v>
      </c>
      <c r="BY35" s="12">
        <f>IF('Données projet'!$A$114&gt;35,BY34+BX35-CG34,IF(A35&lt;'Données projet'!$A$114,$BV$205^A35,IF(A35='Données projet'!$A$114,'Données projet'!$B$114,BY34+BX35-CG34)))</f>
        <v>63.999999999999986</v>
      </c>
      <c r="BZ35" s="13">
        <f>BY35*VLOOKUP('Données projet'!$B$12,Paramètres!$A$1:$I$89,3,0)*VLOOKUP('Données projet'!$B$12,Paramètres!$A$1:$I$89,5,0)</f>
        <v>57.907199999999989</v>
      </c>
      <c r="CA35" s="13">
        <f t="shared" si="39"/>
        <v>16.638055172385986</v>
      </c>
      <c r="CB35" s="20">
        <f t="shared" si="10"/>
        <v>129.83298609190555</v>
      </c>
      <c r="CC35" s="59">
        <f t="shared" si="11"/>
        <v>423.16631942523884</v>
      </c>
      <c r="CD35" s="59">
        <f ca="1">AVERAGE(OFFSET($CC$3,0,0,'Données projet'!$E$12+1,1))-AVERAGE(OFFSET($H$3,0,0,'Données projet'!$E$12+1,1))</f>
        <v>119.62076457560073</v>
      </c>
      <c r="CE35" s="59">
        <f t="shared" si="40"/>
        <v>72.011647893875363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5</v>
      </c>
      <c r="CT35" s="12">
        <f>IF('Données projet'!$A$140&gt;35,CT34+CS35-DB34,IF(A35&lt;'Données projet'!$A$140,$CQ$205^A35,IF(A35='Données projet'!$A$140,'Données projet'!$B$140,CT34+CS35-DB34)))</f>
        <v>63.999999999999986</v>
      </c>
      <c r="CU35" s="17">
        <f>CT35*VLOOKUP('Données projet'!$B$13,Paramètres!$A$1:$I$89,3,0)*VLOOKUP('Données projet'!$B$13,Paramètres!$A$1:$I$89,5,0)</f>
        <v>68.889599999999987</v>
      </c>
      <c r="CV35" s="13">
        <f t="shared" si="41"/>
        <v>19.397450021635805</v>
      </c>
      <c r="CW35" s="20">
        <f t="shared" si="13"/>
        <v>153.76661212101567</v>
      </c>
      <c r="CX35" s="59">
        <f t="shared" si="14"/>
        <v>447.09994545434898</v>
      </c>
      <c r="CY35" s="59">
        <f ca="1">AVERAGE(OFFSET($CX$3,0,0,'Données projet'!$E$13+1,1))-AVERAGE(OFFSET($H$3,0,0,'Données projet'!$E$13+1,1))</f>
        <v>150.9416300233616</v>
      </c>
      <c r="CZ35" s="59">
        <f t="shared" si="42"/>
        <v>92.286636088269972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16.399999999999999</v>
      </c>
      <c r="DO35" s="12">
        <f>IF('Données projet'!$A$166&gt;35,DO34+DN35-DW34,IF(A35&lt;'Données projet'!$A$166,$DL$205^A35,IF(A35='Données projet'!$A$166,'Données projet'!$B$166,DO34+DN35-DW34)))</f>
        <v>205.79999999999998</v>
      </c>
      <c r="DP35" s="17">
        <f>DO35*VLOOKUP('Données projet'!$B$14,Paramètres!$A$1:$I$89,3,0)*VLOOKUP('Données projet'!$B$14,Paramètres!$A$1:$I$89,5,0)</f>
        <v>123.0684</v>
      </c>
      <c r="DQ35" s="13">
        <f t="shared" si="43"/>
        <v>32.38959818689365</v>
      </c>
      <c r="DR35" s="20">
        <f t="shared" si="16"/>
        <v>270.75601350883971</v>
      </c>
      <c r="DS35" s="59">
        <f t="shared" si="17"/>
        <v>564.08934684217297</v>
      </c>
      <c r="DT35" s="59">
        <f ca="1">AVERAGE(OFFSET($DS$3,0,0,'Données projet'!$E$14+1,1))-AVERAGE(OFFSET($H$3,0,0,'Données projet'!$E$14+1,1))</f>
        <v>249.22792522076639</v>
      </c>
      <c r="DU35" s="59">
        <f t="shared" si="44"/>
        <v>244.53725944480669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10.974776069443582</v>
      </c>
      <c r="EB35" s="21">
        <f>EXP(-LN(2)/25)*EB34+(1-EXP(-LN(2)/25))/(LN(2)/25)*Calculateur!DW35*Calculateur!DY35*VLOOKUP('Données projet'!$B$14,Paramètres!$A$1:$I$89,3,0)*0.475*44/12</f>
        <v>12.239119967401578</v>
      </c>
      <c r="EC35" s="21">
        <f>EXP(-LN(2)/2)*EC34+(1-EXP(-LN(2)/2))/(LN(2)/2)*DW35*DZ35*VLOOKUP('Données projet'!$B$14,Paramètres!$A$1:$I$89,3,0)*0.475*44/12</f>
        <v>4.5611811970644913</v>
      </c>
      <c r="ED35" s="22">
        <f t="shared" si="18"/>
        <v>27.775077233909652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32.6</v>
      </c>
      <c r="EJ35" s="12">
        <f>IF('Données projet'!$A$192&gt;35,EJ34+EI35-ER34,IF(A35&lt;'Données projet'!$A$192,$EG$205^A35,IF(A35='Données projet'!$A$192,'Données projet'!$B$192,EJ34+EI35-ER34)))</f>
        <v>374.20000000000016</v>
      </c>
      <c r="EK35" s="17">
        <f>EJ35*VLOOKUP('Données projet'!$B$15,Paramètres!$A$1:$I$89,3,0)*VLOOKUP('Données projet'!$B$15,Paramètres!$A$1:$I$89,5,0)</f>
        <v>209.17780000000008</v>
      </c>
      <c r="EL35" s="13">
        <f t="shared" si="45"/>
        <v>51.755873311121505</v>
      </c>
      <c r="EM35" s="20">
        <f t="shared" si="19"/>
        <v>454.45948101687009</v>
      </c>
      <c r="EN35" s="59">
        <f t="shared" si="20"/>
        <v>747.79281435020334</v>
      </c>
      <c r="EO35" s="59">
        <f ca="1">AVERAGE(OFFSET($EN$3,0,0,'Données projet'!$E$15+1,1))-AVERAGE(OFFSET($H$3,0,0,'Données projet'!$E$15+1,1))</f>
        <v>313.36787814924116</v>
      </c>
      <c r="EP35" s="59">
        <f t="shared" si="46"/>
        <v>438.72984487610216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49.172459150732294</v>
      </c>
      <c r="EW35" s="21">
        <f>EXP(-LN(2)/25)*EW34+(1-EXP(-LN(2)/25))/(LN(2)/25)*Calculateur!ER35*Calculateur!ET35*VLOOKUP('Données projet'!$B$15,Paramètres!$A$1:$I$89,3,0)*0.475*44/12</f>
        <v>30.400224099406827</v>
      </c>
      <c r="EX35" s="21">
        <f>EXP(-LN(2)/2)*EX34+(1-EXP(-LN(2)/2))/(LN(2)/2)*ER35*EU35*VLOOKUP('Données projet'!$B$15,Paramètres!$A$1:$I$89,3,0)*0.475*44/12</f>
        <v>7.1252347618332941</v>
      </c>
      <c r="EY35" s="22">
        <f t="shared" si="21"/>
        <v>86.697918011972419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5</v>
      </c>
      <c r="N36" s="13">
        <f>IF('Données projet'!$A$36&gt;35,N35+M36-V35,IF(A36&lt;'Données projet'!$A$36,$K$205^A36,IF(A36='Données projet'!$A$36,'Données projet'!$B$36,N35+M36-V35)))</f>
        <v>68.999999999999986</v>
      </c>
      <c r="O36" s="13">
        <f>N36*VLOOKUP('Données projet'!$B$9,Paramètres!$A$1:$I$89,3,0)*VLOOKUP('Données projet'!$B$9,Paramètres!$A$1:$I$89,5,0)</f>
        <v>62.431199999999983</v>
      </c>
      <c r="P36" s="13">
        <f t="shared" si="33"/>
        <v>17.781524466058684</v>
      </c>
      <c r="Q36" s="20">
        <f t="shared" si="53"/>
        <v>139.70382844505215</v>
      </c>
      <c r="R36" s="59">
        <f t="shared" si="0"/>
        <v>433.03716177838544</v>
      </c>
      <c r="S36" s="59">
        <f ca="1">AVERAGE(OFFSET($R$3,0,0,'Données projet'!$E$9+1,1))-AVERAGE(OFFSET($H$3,0,0,'Données projet'!$E$9+1,1))</f>
        <v>173.91998182168385</v>
      </c>
      <c r="T36" s="59">
        <f t="shared" si="34"/>
        <v>72.011647893875363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5</v>
      </c>
      <c r="AI36" s="13">
        <f>IF('Données projet'!$A$62&gt;35,AI35+AH36-AQ35,IF(A36&lt;'Données projet'!$A$62,$AF$205^A36,IF(A36='Données projet'!$A$62,'Données projet'!$B$62,AI35+AH36-AQ35)))</f>
        <v>68.999999999999986</v>
      </c>
      <c r="AJ36" s="13">
        <f>AI36*VLOOKUP('Données projet'!$B$10,Paramètres!$A$1:$I$89,3,0)*VLOOKUP('Données projet'!$B$10,Paramètres!$A$1:$I$89,5,0)</f>
        <v>74.271599999999978</v>
      </c>
      <c r="AK36" s="13">
        <f t="shared" si="35"/>
        <v>20.730561869473863</v>
      </c>
      <c r="AL36" s="20">
        <f t="shared" si="4"/>
        <v>165.46209858933358</v>
      </c>
      <c r="AM36" s="59">
        <f t="shared" si="5"/>
        <v>458.79543192266692</v>
      </c>
      <c r="AN36" s="59">
        <f ca="1">AVERAGE(OFFSET($AM$3,0,0,'Données projet'!$E$10+1,1))-AVERAGE(OFFSET($H$3,0,0,'Données projet'!$E$10+1,1))</f>
        <v>150.9416300233616</v>
      </c>
      <c r="AO36" s="59">
        <f t="shared" si="36"/>
        <v>92.286636088269972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5</v>
      </c>
      <c r="BD36" s="12">
        <f>IF('Données projet'!$A$88&gt;35,BD35+BC36-BL35,IF(A36&lt;'Données projet'!$A$88,$BA$205^A36,IF(A36='Données projet'!$A$88,'Données projet'!$B$88,BD35+BC36-BL35)))</f>
        <v>68.999999999999986</v>
      </c>
      <c r="BE36" s="13">
        <f>BD36*VLOOKUP('Données projet'!$B$11,Paramètres!$A$1:$I$89,3,0)*VLOOKUP('Données projet'!$B$11,Paramètres!$A$1:$I$89,5,0)</f>
        <v>66.736799999999988</v>
      </c>
      <c r="BF36" s="13">
        <f t="shared" si="37"/>
        <v>18.860852268900583</v>
      </c>
      <c r="BG36" s="20">
        <f t="shared" si="7"/>
        <v>149.0825777016685</v>
      </c>
      <c r="BH36" s="59">
        <f t="shared" si="8"/>
        <v>442.41591103500184</v>
      </c>
      <c r="BI36" s="59">
        <f ca="1">AVERAGE(OFFSET($BH$3,0,0,'Données projet'!$E$11+1,1))-AVERAGE(OFFSET($H$3,0,0,'Données projet'!$E$11+1,1))</f>
        <v>131.02416800340484</v>
      </c>
      <c r="BJ36" s="59">
        <f t="shared" si="38"/>
        <v>79.394119001888555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5</v>
      </c>
      <c r="BY36" s="12">
        <f>IF('Données projet'!$A$114&gt;35,BY35+BX36-CG35,IF(A36&lt;'Données projet'!$A$114,$BV$205^A36,IF(A36='Données projet'!$A$114,'Données projet'!$B$114,BY35+BX36-CG35)))</f>
        <v>68.999999999999986</v>
      </c>
      <c r="BZ36" s="13">
        <f>BY36*VLOOKUP('Données projet'!$B$12,Paramètres!$A$1:$I$89,3,0)*VLOOKUP('Données projet'!$B$12,Paramètres!$A$1:$I$89,5,0)</f>
        <v>62.431199999999983</v>
      </c>
      <c r="CA36" s="13">
        <f t="shared" si="39"/>
        <v>17.781524466058684</v>
      </c>
      <c r="CB36" s="20">
        <f t="shared" si="10"/>
        <v>139.70382844505215</v>
      </c>
      <c r="CC36" s="59">
        <f t="shared" si="11"/>
        <v>433.03716177838544</v>
      </c>
      <c r="CD36" s="59">
        <f ca="1">AVERAGE(OFFSET($CC$3,0,0,'Données projet'!$E$12+1,1))-AVERAGE(OFFSET($H$3,0,0,'Données projet'!$E$12+1,1))</f>
        <v>119.62076457560073</v>
      </c>
      <c r="CE36" s="59">
        <f t="shared" si="40"/>
        <v>72.011647893875363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5</v>
      </c>
      <c r="CT36" s="12">
        <f>IF('Données projet'!$A$140&gt;35,CT35+CS36-DB35,IF(A36&lt;'Données projet'!$A$140,$CQ$205^A36,IF(A36='Données projet'!$A$140,'Données projet'!$B$140,CT35+CS36-DB35)))</f>
        <v>68.999999999999986</v>
      </c>
      <c r="CU36" s="17">
        <f>CT36*VLOOKUP('Données projet'!$B$13,Paramètres!$A$1:$I$89,3,0)*VLOOKUP('Données projet'!$B$13,Paramètres!$A$1:$I$89,5,0)</f>
        <v>74.271599999999978</v>
      </c>
      <c r="CV36" s="13">
        <f t="shared" si="41"/>
        <v>20.730561869473863</v>
      </c>
      <c r="CW36" s="20">
        <f t="shared" si="13"/>
        <v>165.46209858933358</v>
      </c>
      <c r="CX36" s="59">
        <f t="shared" si="14"/>
        <v>458.79543192266692</v>
      </c>
      <c r="CY36" s="59">
        <f ca="1">AVERAGE(OFFSET($CX$3,0,0,'Données projet'!$E$13+1,1))-AVERAGE(OFFSET($H$3,0,0,'Données projet'!$E$13+1,1))</f>
        <v>150.9416300233616</v>
      </c>
      <c r="CZ36" s="59">
        <f t="shared" si="42"/>
        <v>92.286636088269972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16.399999999999999</v>
      </c>
      <c r="DO36" s="12">
        <f>IF('Données projet'!$A$166&gt;35,DO35+DN36-DW35,IF(A36&lt;'Données projet'!$A$166,$DL$205^A36,IF(A36='Données projet'!$A$166,'Données projet'!$B$166,DO35+DN36-DW35)))</f>
        <v>222.2</v>
      </c>
      <c r="DP36" s="17">
        <f>DO36*VLOOKUP('Données projet'!$B$14,Paramètres!$A$1:$I$89,3,0)*VLOOKUP('Données projet'!$B$14,Paramètres!$A$1:$I$89,5,0)</f>
        <v>132.87560000000002</v>
      </c>
      <c r="DQ36" s="13">
        <f t="shared" si="43"/>
        <v>34.659977599024245</v>
      </c>
      <c r="DR36" s="20">
        <f t="shared" si="16"/>
        <v>291.79113098496725</v>
      </c>
      <c r="DS36" s="59">
        <f t="shared" si="17"/>
        <v>585.12446431830062</v>
      </c>
      <c r="DT36" s="59">
        <f ca="1">AVERAGE(OFFSET($DS$3,0,0,'Données projet'!$E$14+1,1))-AVERAGE(OFFSET($H$3,0,0,'Données projet'!$E$14+1,1))</f>
        <v>249.22792522076639</v>
      </c>
      <c r="DU36" s="59">
        <f t="shared" si="44"/>
        <v>244.53725944480669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10.759567404674222</v>
      </c>
      <c r="EB36" s="21">
        <f>EXP(-LN(2)/25)*EB35+(1-EXP(-LN(2)/25))/(LN(2)/25)*Calculateur!DW36*Calculateur!DY36*VLOOKUP('Données projet'!$B$14,Paramètres!$A$1:$I$89,3,0)*0.475*44/12</f>
        <v>11.904440588265636</v>
      </c>
      <c r="EC36" s="21">
        <f>EXP(-LN(2)/2)*EC35+(1-EXP(-LN(2)/2))/(LN(2)/2)*DW36*DZ36*VLOOKUP('Données projet'!$B$14,Paramètres!$A$1:$I$89,3,0)*0.475*44/12</f>
        <v>3.2252421546648762</v>
      </c>
      <c r="ED36" s="22">
        <f t="shared" si="18"/>
        <v>25.889250147604734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32.6</v>
      </c>
      <c r="EJ36" s="12">
        <f>IF('Données projet'!$A$192&gt;35,EJ35+EI36-ER35,IF(A36&lt;'Données projet'!$A$192,$EG$205^A36,IF(A36='Données projet'!$A$192,'Données projet'!$B$192,EJ35+EI36-ER35)))</f>
        <v>406.80000000000018</v>
      </c>
      <c r="EK36" s="17">
        <f>EJ36*VLOOKUP('Données projet'!$B$15,Paramètres!$A$1:$I$89,3,0)*VLOOKUP('Données projet'!$B$15,Paramètres!$A$1:$I$89,5,0)</f>
        <v>227.4012000000001</v>
      </c>
      <c r="EL36" s="13">
        <f t="shared" si="45"/>
        <v>55.720389123323166</v>
      </c>
      <c r="EM36" s="20">
        <f t="shared" si="19"/>
        <v>493.10343438978794</v>
      </c>
      <c r="EN36" s="59">
        <f t="shared" si="20"/>
        <v>786.43676772312119</v>
      </c>
      <c r="EO36" s="59">
        <f ca="1">AVERAGE(OFFSET($EN$3,0,0,'Données projet'!$E$15+1,1))-AVERAGE(OFFSET($H$3,0,0,'Données projet'!$E$15+1,1))</f>
        <v>313.36787814924116</v>
      </c>
      <c r="EP36" s="59">
        <f t="shared" si="46"/>
        <v>438.72984487610216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48.20821721902503</v>
      </c>
      <c r="EW36" s="21">
        <f>EXP(-LN(2)/25)*EW35+(1-EXP(-LN(2)/25))/(LN(2)/25)*Calculateur!ER36*Calculateur!ET36*VLOOKUP('Données projet'!$B$15,Paramètres!$A$1:$I$89,3,0)*0.475*44/12</f>
        <v>29.568928372730245</v>
      </c>
      <c r="EX36" s="21">
        <f>EXP(-LN(2)/2)*EX35+(1-EXP(-LN(2)/2))/(LN(2)/2)*ER36*EU36*VLOOKUP('Données projet'!$B$15,Paramètres!$A$1:$I$89,3,0)*0.475*44/12</f>
        <v>5.0383018176384375</v>
      </c>
      <c r="EY36" s="22">
        <f t="shared" si="21"/>
        <v>82.815447409393713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5</v>
      </c>
      <c r="N37" s="13">
        <f>IF('Données projet'!$A$36&gt;35,N36+M37-V36,IF(A37&lt;'Données projet'!$A$36,$K$205^A37,IF(A37='Données projet'!$A$36,'Données projet'!$B$36,N36+M37-V36)))</f>
        <v>73.999999999999986</v>
      </c>
      <c r="O37" s="13">
        <f>N37*VLOOKUP('Données projet'!$B$9,Paramètres!$A$1:$I$89,3,0)*VLOOKUP('Données projet'!$B$9,Paramètres!$A$1:$I$89,5,0)</f>
        <v>66.955199999999977</v>
      </c>
      <c r="P37" s="13">
        <f t="shared" si="33"/>
        <v>18.915380530436487</v>
      </c>
      <c r="Q37" s="20">
        <f t="shared" si="53"/>
        <v>149.55792775717683</v>
      </c>
      <c r="R37" s="59">
        <f t="shared" si="0"/>
        <v>442.89126109051017</v>
      </c>
      <c r="S37" s="59">
        <f ca="1">AVERAGE(OFFSET($R$3,0,0,'Données projet'!$E$9+1,1))-AVERAGE(OFFSET($H$3,0,0,'Données projet'!$E$9+1,1))</f>
        <v>173.91998182168385</v>
      </c>
      <c r="T37" s="59">
        <f t="shared" si="34"/>
        <v>72.011647893875363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5</v>
      </c>
      <c r="AI37" s="13">
        <f>IF('Données projet'!$A$62&gt;35,AI36+AH37-AQ36,IF(A37&lt;'Données projet'!$A$62,$AF$205^A37,IF(A37='Données projet'!$A$62,'Données projet'!$B$62,AI36+AH37-AQ36)))</f>
        <v>73.999999999999986</v>
      </c>
      <c r="AJ37" s="13">
        <f>AI37*VLOOKUP('Données projet'!$B$10,Paramètres!$A$1:$I$89,3,0)*VLOOKUP('Données projet'!$B$10,Paramètres!$A$1:$I$89,5,0)</f>
        <v>79.653599999999983</v>
      </c>
      <c r="AK37" s="13">
        <f t="shared" si="35"/>
        <v>22.052466149308238</v>
      </c>
      <c r="AL37" s="20">
        <f t="shared" si="4"/>
        <v>177.13806521004514</v>
      </c>
      <c r="AM37" s="59">
        <f t="shared" si="5"/>
        <v>470.47139854337843</v>
      </c>
      <c r="AN37" s="59">
        <f ca="1">AVERAGE(OFFSET($AM$3,0,0,'Données projet'!$E$10+1,1))-AVERAGE(OFFSET($H$3,0,0,'Données projet'!$E$10+1,1))</f>
        <v>150.9416300233616</v>
      </c>
      <c r="AO37" s="59">
        <f t="shared" si="36"/>
        <v>92.286636088269972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5</v>
      </c>
      <c r="BD37" s="12">
        <f>IF('Données projet'!$A$88&gt;35,BD36+BC37-BL36,IF(A37&lt;'Données projet'!$A$88,$BA$205^A37,IF(A37='Données projet'!$A$88,'Données projet'!$B$88,BD36+BC37-BL36)))</f>
        <v>73.999999999999986</v>
      </c>
      <c r="BE37" s="13">
        <f>BD37*VLOOKUP('Données projet'!$B$11,Paramètres!$A$1:$I$89,3,0)*VLOOKUP('Données projet'!$B$11,Paramètres!$A$1:$I$89,5,0)</f>
        <v>71.572799999999987</v>
      </c>
      <c r="BF37" s="13">
        <f t="shared" si="37"/>
        <v>20.063532712034</v>
      </c>
      <c r="BG37" s="20">
        <f t="shared" si="7"/>
        <v>159.59994614012587</v>
      </c>
      <c r="BH37" s="59">
        <f t="shared" si="8"/>
        <v>452.93327947345915</v>
      </c>
      <c r="BI37" s="59">
        <f ca="1">AVERAGE(OFFSET($BH$3,0,0,'Données projet'!$E$11+1,1))-AVERAGE(OFFSET($H$3,0,0,'Données projet'!$E$11+1,1))</f>
        <v>131.02416800340484</v>
      </c>
      <c r="BJ37" s="59">
        <f t="shared" si="38"/>
        <v>79.394119001888555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5</v>
      </c>
      <c r="BY37" s="12">
        <f>IF('Données projet'!$A$114&gt;35,BY36+BX37-CG36,IF(A37&lt;'Données projet'!$A$114,$BV$205^A37,IF(A37='Données projet'!$A$114,'Données projet'!$B$114,BY36+BX37-CG36)))</f>
        <v>73.999999999999986</v>
      </c>
      <c r="BZ37" s="13">
        <f>BY37*VLOOKUP('Données projet'!$B$12,Paramètres!$A$1:$I$89,3,0)*VLOOKUP('Données projet'!$B$12,Paramètres!$A$1:$I$89,5,0)</f>
        <v>66.955199999999977</v>
      </c>
      <c r="CA37" s="13">
        <f t="shared" si="39"/>
        <v>18.915380530436487</v>
      </c>
      <c r="CB37" s="20">
        <f t="shared" si="10"/>
        <v>149.55792775717683</v>
      </c>
      <c r="CC37" s="59">
        <f t="shared" si="11"/>
        <v>442.89126109051017</v>
      </c>
      <c r="CD37" s="59">
        <f ca="1">AVERAGE(OFFSET($CC$3,0,0,'Données projet'!$E$12+1,1))-AVERAGE(OFFSET($H$3,0,0,'Données projet'!$E$12+1,1))</f>
        <v>119.62076457560073</v>
      </c>
      <c r="CE37" s="59">
        <f t="shared" si="40"/>
        <v>72.011647893875363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5</v>
      </c>
      <c r="CT37" s="12">
        <f>IF('Données projet'!$A$140&gt;35,CT36+CS37-DB36,IF(A37&lt;'Données projet'!$A$140,$CQ$205^A37,IF(A37='Données projet'!$A$140,'Données projet'!$B$140,CT36+CS37-DB36)))</f>
        <v>73.999999999999986</v>
      </c>
      <c r="CU37" s="17">
        <f>CT37*VLOOKUP('Données projet'!$B$13,Paramètres!$A$1:$I$89,3,0)*VLOOKUP('Données projet'!$B$13,Paramètres!$A$1:$I$89,5,0)</f>
        <v>79.653599999999983</v>
      </c>
      <c r="CV37" s="13">
        <f t="shared" si="41"/>
        <v>22.052466149308238</v>
      </c>
      <c r="CW37" s="20">
        <f t="shared" si="13"/>
        <v>177.13806521004514</v>
      </c>
      <c r="CX37" s="59">
        <f t="shared" si="14"/>
        <v>470.47139854337843</v>
      </c>
      <c r="CY37" s="59">
        <f ca="1">AVERAGE(OFFSET($CX$3,0,0,'Données projet'!$E$13+1,1))-AVERAGE(OFFSET($H$3,0,0,'Données projet'!$E$13+1,1))</f>
        <v>150.9416300233616</v>
      </c>
      <c r="CZ37" s="59">
        <f t="shared" si="42"/>
        <v>92.286636088269972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16.399999999999999</v>
      </c>
      <c r="DO37" s="12">
        <f>IF('Données projet'!$A$166&gt;35,DO36+DN37-DW36,IF(A37&lt;'Données projet'!$A$166,$DL$205^A37,IF(A37='Données projet'!$A$166,'Données projet'!$B$166,DO36+DN37-DW36)))</f>
        <v>238.6</v>
      </c>
      <c r="DP37" s="17">
        <f>DO37*VLOOKUP('Données projet'!$B$14,Paramètres!$A$1:$I$89,3,0)*VLOOKUP('Données projet'!$B$14,Paramètres!$A$1:$I$89,5,0)</f>
        <v>142.68280000000001</v>
      </c>
      <c r="DQ37" s="13">
        <f t="shared" si="43"/>
        <v>36.910916699993791</v>
      </c>
      <c r="DR37" s="20">
        <f t="shared" si="16"/>
        <v>312.79238991915594</v>
      </c>
      <c r="DS37" s="59">
        <f t="shared" si="17"/>
        <v>606.12572325248925</v>
      </c>
      <c r="DT37" s="59">
        <f ca="1">AVERAGE(OFFSET($DS$3,0,0,'Données projet'!$E$14+1,1))-AVERAGE(OFFSET($H$3,0,0,'Données projet'!$E$14+1,1))</f>
        <v>249.22792522076639</v>
      </c>
      <c r="DU37" s="59">
        <f t="shared" si="44"/>
        <v>244.53725944480669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10.548578850556666</v>
      </c>
      <c r="EB37" s="21">
        <f>EXP(-LN(2)/25)*EB36+(1-EXP(-LN(2)/25))/(LN(2)/25)*Calculateur!DW37*Calculateur!DY37*VLOOKUP('Données projet'!$B$14,Paramètres!$A$1:$I$89,3,0)*0.475*44/12</f>
        <v>11.57891303435219</v>
      </c>
      <c r="EC37" s="21">
        <f>EXP(-LN(2)/2)*EC36+(1-EXP(-LN(2)/2))/(LN(2)/2)*DW37*DZ37*VLOOKUP('Données projet'!$B$14,Paramètres!$A$1:$I$89,3,0)*0.475*44/12</f>
        <v>2.2805905985322457</v>
      </c>
      <c r="ED37" s="22">
        <f t="shared" si="18"/>
        <v>24.408082483441103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32.6</v>
      </c>
      <c r="EJ37" s="12">
        <f>IF('Données projet'!$A$192&gt;35,EJ36+EI37-ER36,IF(A37&lt;'Données projet'!$A$192,$EG$205^A37,IF(A37='Données projet'!$A$192,'Données projet'!$B$192,EJ36+EI37-ER36)))</f>
        <v>439.4000000000002</v>
      </c>
      <c r="EK37" s="17">
        <f>EJ37*VLOOKUP('Données projet'!$B$15,Paramètres!$A$1:$I$89,3,0)*VLOOKUP('Données projet'!$B$15,Paramètres!$A$1:$I$89,5,0)</f>
        <v>245.62460000000013</v>
      </c>
      <c r="EL37" s="13">
        <f t="shared" si="45"/>
        <v>59.648054174746434</v>
      </c>
      <c r="EM37" s="20">
        <f t="shared" si="19"/>
        <v>531.68320602101687</v>
      </c>
      <c r="EN37" s="59">
        <f t="shared" si="20"/>
        <v>825.01653935435024</v>
      </c>
      <c r="EO37" s="59">
        <f ca="1">AVERAGE(OFFSET($EN$3,0,0,'Données projet'!$E$15+1,1))-AVERAGE(OFFSET($H$3,0,0,'Données projet'!$E$15+1,1))</f>
        <v>313.36787814924116</v>
      </c>
      <c r="EP37" s="59">
        <f t="shared" si="46"/>
        <v>438.72984487610216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47.262883483469039</v>
      </c>
      <c r="EW37" s="21">
        <f>EXP(-LN(2)/25)*EW36+(1-EXP(-LN(2)/25))/(LN(2)/25)*Calculateur!ER37*Calculateur!ET37*VLOOKUP('Données projet'!$B$15,Paramètres!$A$1:$I$89,3,0)*0.475*44/12</f>
        <v>28.760364471415574</v>
      </c>
      <c r="EX37" s="21">
        <f>EXP(-LN(2)/2)*EX36+(1-EXP(-LN(2)/2))/(LN(2)/2)*ER37*EU37*VLOOKUP('Données projet'!$B$15,Paramètres!$A$1:$I$89,3,0)*0.475*44/12</f>
        <v>3.5626173809166475</v>
      </c>
      <c r="EY37" s="22">
        <f t="shared" si="21"/>
        <v>79.585865335801259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79</v>
      </c>
      <c r="L38" s="12">
        <f>VLOOKUP(A38,'Données projet'!$A$35:$I$55,9,0)</f>
        <v>5</v>
      </c>
      <c r="M38" s="12">
        <f t="array" ref="M38">INDEX(L:L,MIN(IF(ISNUMBER(L38:L234),ROW(L38:L234),"")))</f>
        <v>5</v>
      </c>
      <c r="N38" s="13">
        <f>IF('Données projet'!$A$36&gt;35,N37+M38-V37,IF(A38&lt;'Données projet'!$A$36,$K$205^A38,IF(A38='Données projet'!$A$36,'Données projet'!$B$36,N37+M38-V37)))</f>
        <v>78.999999999999986</v>
      </c>
      <c r="O38" s="13">
        <f>N38*VLOOKUP('Données projet'!$B$9,Paramètres!$A$1:$I$89,3,0)*VLOOKUP('Données projet'!$B$9,Paramètres!$A$1:$I$89,5,0)</f>
        <v>71.479199999999977</v>
      </c>
      <c r="P38" s="13">
        <f t="shared" si="33"/>
        <v>20.040346808618612</v>
      </c>
      <c r="Q38" s="20">
        <f t="shared" si="53"/>
        <v>159.39654402501068</v>
      </c>
      <c r="R38" s="59">
        <f t="shared" si="0"/>
        <v>452.72987735834397</v>
      </c>
      <c r="S38" s="59">
        <f ca="1">AVERAGE(OFFSET($R$3,0,0,'Données projet'!$E$9+1,1))-AVERAGE(OFFSET($H$3,0,0,'Données projet'!$E$9+1,1))</f>
        <v>173.91998182168385</v>
      </c>
      <c r="T38" s="59">
        <f t="shared" si="34"/>
        <v>72.011647893875363</v>
      </c>
      <c r="U38" s="15">
        <f>IF(ISNA(VLOOKUP(A38,'Données projet'!$A$35:$I$55,3,0)),0,VLOOKUP(A38,'Données projet'!$A$35:$I$55,3,0))</f>
        <v>3</v>
      </c>
      <c r="V38" s="15">
        <f>IF(ISNA(VLOOKUP(A38,'Données projet'!$A$35:$I$55,4,0)),0,VLOOKUP(A38,'Données projet'!$A$35:$I$55,4,0))</f>
        <v>13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79</v>
      </c>
      <c r="AG38" s="12">
        <f>VLOOKUP(A38,'Données projet'!$A$61:$I$81,9,0)</f>
        <v>5</v>
      </c>
      <c r="AH38" s="12">
        <f t="array" ref="AH38">INDEX(AG:AG,MIN(IF(ISNUMBER(AG38:AG234),ROW(AG38:AG234),"")))</f>
        <v>5</v>
      </c>
      <c r="AI38" s="13">
        <f>IF('Données projet'!$A$62&gt;35,AI37+AH38-AQ37,IF(A38&lt;'Données projet'!$A$62,$AF$205^A38,IF(A38='Données projet'!$A$62,'Données projet'!$B$62,AI37+AH38-AQ37)))</f>
        <v>78.999999999999986</v>
      </c>
      <c r="AJ38" s="13">
        <f>AI38*VLOOKUP('Données projet'!$B$10,Paramètres!$A$1:$I$89,3,0)*VLOOKUP('Données projet'!$B$10,Paramètres!$A$1:$I$89,5,0)</f>
        <v>85.035599999999974</v>
      </c>
      <c r="AK38" s="13">
        <f t="shared" si="35"/>
        <v>23.364006286119412</v>
      </c>
      <c r="AL38" s="20">
        <f t="shared" si="4"/>
        <v>188.79598094832463</v>
      </c>
      <c r="AM38" s="59">
        <f t="shared" si="5"/>
        <v>482.12931428165791</v>
      </c>
      <c r="AN38" s="59">
        <f ca="1">AVERAGE(OFFSET($AM$3,0,0,'Données projet'!$E$10+1,1))-AVERAGE(OFFSET($H$3,0,0,'Données projet'!$E$10+1,1))</f>
        <v>150.9416300233616</v>
      </c>
      <c r="AO38" s="59">
        <f t="shared" si="36"/>
        <v>92.286636088269972</v>
      </c>
      <c r="AP38" s="15">
        <f>IF(ISNA(VLOOKUP(A38,'Données projet'!$A$61:$I$81,3,0)),0,VLOOKUP(A38,'Données projet'!$A$61:$I$81,3,0))</f>
        <v>3</v>
      </c>
      <c r="AQ38" s="15">
        <f>IF(ISNA(VLOOKUP(A38,'Données projet'!$A$61:$I$81,4,0)),0,VLOOKUP(A38,'Données projet'!$A$61:$I$81,4,0))</f>
        <v>13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79</v>
      </c>
      <c r="BB38" s="12">
        <f>VLOOKUP(A38,'Données projet'!$A$87:$I$107,9,0)</f>
        <v>5</v>
      </c>
      <c r="BC38" s="12">
        <f t="array" ref="BC38">INDEX(BB:BB,MIN(IF(ISNUMBER(BB38:BB234),ROW(BB38:BB234),"")))</f>
        <v>5</v>
      </c>
      <c r="BD38" s="12">
        <f>IF('Données projet'!$A$88&gt;35,BD37+BC38-BL37,IF(A38&lt;'Données projet'!$A$88,$BA$205^A38,IF(A38='Données projet'!$A$88,'Données projet'!$B$88,BD37+BC38-BL37)))</f>
        <v>78.999999999999986</v>
      </c>
      <c r="BE38" s="13">
        <f>BD38*VLOOKUP('Données projet'!$B$11,Paramètres!$A$1:$I$89,3,0)*VLOOKUP('Données projet'!$B$11,Paramètres!$A$1:$I$89,5,0)</f>
        <v>76.408799999999985</v>
      </c>
      <c r="BF38" s="13">
        <f t="shared" si="37"/>
        <v>21.256783764315173</v>
      </c>
      <c r="BG38" s="20">
        <f t="shared" si="7"/>
        <v>170.1008917228489</v>
      </c>
      <c r="BH38" s="59">
        <f t="shared" si="8"/>
        <v>463.43422505618219</v>
      </c>
      <c r="BI38" s="59">
        <f ca="1">AVERAGE(OFFSET($BH$3,0,0,'Données projet'!$E$11+1,1))-AVERAGE(OFFSET($H$3,0,0,'Données projet'!$E$11+1,1))</f>
        <v>131.02416800340484</v>
      </c>
      <c r="BJ38" s="59">
        <f t="shared" si="38"/>
        <v>79.394119001888555</v>
      </c>
      <c r="BK38" s="15">
        <f>IF(ISNA(VLOOKUP(A38,'Données projet'!$A$87:$I$107,3,0)),0,VLOOKUP(A38,'Données projet'!$A$87:$I$107,3,0))</f>
        <v>3</v>
      </c>
      <c r="BL38" s="15">
        <f>IF(ISNA(VLOOKUP(A38,'Données projet'!$A$87:$I$107,4,0)),0,VLOOKUP(A38,'Données projet'!$A$87:$I$107,4,0))</f>
        <v>13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79</v>
      </c>
      <c r="BW38" s="12">
        <f>VLOOKUP(A38,'Données projet'!$A$113:$I$133,9,0)</f>
        <v>5</v>
      </c>
      <c r="BX38" s="12">
        <f t="array" ref="BX38">INDEX(BW:BW,MIN(IF(ISNUMBER(BW38:BW234),ROW(BW38:BW234),"")))</f>
        <v>5</v>
      </c>
      <c r="BY38" s="12">
        <f>IF('Données projet'!$A$114&gt;35,BY37+BX38-CG37,IF(A38&lt;'Données projet'!$A$114,$BV$205^A38,IF(A38='Données projet'!$A$114,'Données projet'!$B$114,BY37+BX38-CG37)))</f>
        <v>78.999999999999986</v>
      </c>
      <c r="BZ38" s="13">
        <f>BY38*VLOOKUP('Données projet'!$B$12,Paramètres!$A$1:$I$89,3,0)*VLOOKUP('Données projet'!$B$12,Paramètres!$A$1:$I$89,5,0)</f>
        <v>71.479199999999977</v>
      </c>
      <c r="CA38" s="13">
        <f t="shared" si="39"/>
        <v>20.040346808618612</v>
      </c>
      <c r="CB38" s="20">
        <f t="shared" si="10"/>
        <v>159.39654402501068</v>
      </c>
      <c r="CC38" s="59">
        <f t="shared" si="11"/>
        <v>452.72987735834397</v>
      </c>
      <c r="CD38" s="59">
        <f ca="1">AVERAGE(OFFSET($CC$3,0,0,'Données projet'!$E$12+1,1))-AVERAGE(OFFSET($H$3,0,0,'Données projet'!$E$12+1,1))</f>
        <v>119.62076457560073</v>
      </c>
      <c r="CE38" s="59">
        <f t="shared" si="40"/>
        <v>72.011647893875363</v>
      </c>
      <c r="CF38" s="15">
        <f>IF(ISNA(VLOOKUP(A38,'Données projet'!$A$113:$I$133,3,0)),0,VLOOKUP(A38,'Données projet'!$A$113:$I$133,3,0))</f>
        <v>3</v>
      </c>
      <c r="CG38" s="15">
        <f>IF(ISNA(VLOOKUP(A38,'Données projet'!$A$113:$I$133,4,0)),0,VLOOKUP(A38,'Données projet'!$A$113:$I$133,4,0))</f>
        <v>13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79</v>
      </c>
      <c r="CR38" s="12">
        <f>VLOOKUP(A38,'Données projet'!$A$139:$I$159,9,0)</f>
        <v>5</v>
      </c>
      <c r="CS38" s="12">
        <f t="array" ref="CS38">INDEX(CR:CR,MIN(IF(ISNUMBER(CR38:CR234),ROW(CR38:CR234),"")))</f>
        <v>5</v>
      </c>
      <c r="CT38" s="12">
        <f>IF('Données projet'!$A$140&gt;35,CT37+CS38-DB37,IF(A38&lt;'Données projet'!$A$140,$CQ$205^A38,IF(A38='Données projet'!$A$140,'Données projet'!$B$140,CT37+CS38-DB37)))</f>
        <v>78.999999999999986</v>
      </c>
      <c r="CU38" s="17">
        <f>CT38*VLOOKUP('Données projet'!$B$13,Paramètres!$A$1:$I$89,3,0)*VLOOKUP('Données projet'!$B$13,Paramètres!$A$1:$I$89,5,0)</f>
        <v>85.035599999999974</v>
      </c>
      <c r="CV38" s="13">
        <f t="shared" si="41"/>
        <v>23.364006286119412</v>
      </c>
      <c r="CW38" s="20">
        <f t="shared" si="13"/>
        <v>188.79598094832463</v>
      </c>
      <c r="CX38" s="59">
        <f t="shared" si="14"/>
        <v>482.12931428165791</v>
      </c>
      <c r="CY38" s="59">
        <f ca="1">AVERAGE(OFFSET($CX$3,0,0,'Données projet'!$E$13+1,1))-AVERAGE(OFFSET($H$3,0,0,'Données projet'!$E$13+1,1))</f>
        <v>150.9416300233616</v>
      </c>
      <c r="CZ38" s="59">
        <f t="shared" si="42"/>
        <v>92.286636088269972</v>
      </c>
      <c r="DA38" s="15">
        <f>IF(ISNA(VLOOKUP(A38,'Données projet'!$A$139:$I$159,3,0)),0,VLOOKUP(A38,'Données projet'!$A$139:$I$159,3,0))</f>
        <v>3</v>
      </c>
      <c r="DB38" s="15">
        <f>IF(ISNA(VLOOKUP(A38,'Données projet'!$A$139:$I$159,4,0)),0,VLOOKUP(A38,'Données projet'!$A$139:$I$159,4,0))</f>
        <v>13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255</v>
      </c>
      <c r="DM38" s="12">
        <f>VLOOKUP(A38,'Données projet'!$A$165:$I$185,9,0)</f>
        <v>16.399999999999999</v>
      </c>
      <c r="DN38" s="12">
        <f t="array" ref="DN38">INDEX(DM:DM,MIN(IF(ISNUMBER(DM38:DM234),ROW(DM38:DM234),"")))</f>
        <v>16.399999999999999</v>
      </c>
      <c r="DO38" s="12">
        <f>IF('Données projet'!$A$166&gt;35,DO37+DN38-DW37,IF(A38&lt;'Données projet'!$A$166,$DL$205^A38,IF(A38='Données projet'!$A$166,'Données projet'!$B$166,DO37+DN38-DW37)))</f>
        <v>255</v>
      </c>
      <c r="DP38" s="17">
        <f>DO38*VLOOKUP('Données projet'!$B$14,Paramètres!$A$1:$I$89,3,0)*VLOOKUP('Données projet'!$B$14,Paramètres!$A$1:$I$89,5,0)</f>
        <v>152.49</v>
      </c>
      <c r="DQ38" s="13">
        <f t="shared" si="43"/>
        <v>39.143903713602519</v>
      </c>
      <c r="DR38" s="20">
        <f t="shared" si="16"/>
        <v>333.76238230119105</v>
      </c>
      <c r="DS38" s="59">
        <f t="shared" si="17"/>
        <v>627.09571563452437</v>
      </c>
      <c r="DT38" s="59">
        <f ca="1">AVERAGE(OFFSET($DS$3,0,0,'Données projet'!$E$14+1,1))-AVERAGE(OFFSET($H$3,0,0,'Données projet'!$E$14+1,1))</f>
        <v>249.22792522076639</v>
      </c>
      <c r="DU38" s="59">
        <f t="shared" si="44"/>
        <v>244.53725944480669</v>
      </c>
      <c r="DV38" s="15">
        <f>IF(ISNA(VLOOKUP(A38,'Données projet'!$A$165:$I$185,3,0)),0,VLOOKUP(A38,'Données projet'!$A$165:$I$185,3,0))</f>
        <v>5</v>
      </c>
      <c r="DW38" s="15">
        <f>IF(ISNA(VLOOKUP(A38,'Données projet'!$A$165:$I$185,4,0)),0,VLOOKUP(A38,'Données projet'!$A$165:$I$185,4,0))</f>
        <v>42</v>
      </c>
      <c r="DX38" s="16">
        <f>IF(ISNA(VLOOKUP(A38,'Données projet'!$A$165:$I$185,5,0)),0%,VLOOKUP(A38,'Données projet'!$A$165:$I$185,5,0)*VLOOKUP('Données projet'!$B$14,Paramètres!$A$1:$I$89,7,0))</f>
        <v>0.18000000000000002</v>
      </c>
      <c r="DY38" s="16">
        <f>IF(ISNA(VLOOKUP(A38,'Données projet'!$A$165:$I$185,6,0)),0%,VLOOKUP(A38,'Données projet'!$A$165:$I$185,6,0)*VLOOKUP('Données projet'!$B$14,Paramètres!$A$1:$I$89,7,0))</f>
        <v>0.15300000000000002</v>
      </c>
      <c r="DZ38" s="16">
        <f>IF(ISNA(VLOOKUP(A38,'Données projet'!$A$165:$I$185,7,0)),0%,VLOOKUP(A38,'Données projet'!$A$165:$I$185,7,0))</f>
        <v>0.26</v>
      </c>
      <c r="EA38" s="21">
        <f>EXP(-LN(2)/35)*EA37+(1-EXP(-LN(2)/35))/(LN(2)/35)*DW38*DX38*VLOOKUP('Données projet'!$B$14,Paramètres!$A$1:$I$89,3,0)*0.475*44/12</f>
        <v>16.338966368602552</v>
      </c>
      <c r="EB38" s="21">
        <f>EXP(-LN(2)/25)*EB37+(1-EXP(-LN(2)/25))/(LN(2)/25)*Calculateur!DW38*Calculateur!DY38*VLOOKUP('Données projet'!$B$14,Paramètres!$A$1:$I$89,3,0)*0.475*44/12</f>
        <v>16.339868554673764</v>
      </c>
      <c r="EC38" s="21">
        <f>EXP(-LN(2)/2)*EC37+(1-EXP(-LN(2)/2))/(LN(2)/2)*DW38*DZ38*VLOOKUP('Données projet'!$B$14,Paramètres!$A$1:$I$89,3,0)*0.475*44/12</f>
        <v>9.0062791373478639</v>
      </c>
      <c r="ED38" s="22">
        <f t="shared" si="18"/>
        <v>41.685114060624173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>
        <f>VLOOKUP(A38,'Données projet'!$A$191:$I$211,2,0)</f>
        <v>472</v>
      </c>
      <c r="EH38" s="12">
        <f>VLOOKUP(A38,'Données projet'!$A$191:$I$211,9,0)</f>
        <v>32.6</v>
      </c>
      <c r="EI38" s="12">
        <f t="array" ref="EI38">INDEX(EH:EH,MIN(IF(ISNUMBER(EH38:EH234),ROW(EH38:EH234),"")))</f>
        <v>32.6</v>
      </c>
      <c r="EJ38" s="12">
        <f>IF('Données projet'!$A$192&gt;35,EJ37+EI38-ER37,IF(A38&lt;'Données projet'!$A$192,$EG$205^A38,IF(A38='Données projet'!$A$192,'Données projet'!$B$192,EJ37+EI38-ER37)))</f>
        <v>472.00000000000023</v>
      </c>
      <c r="EK38" s="17">
        <f>EJ38*VLOOKUP('Données projet'!$B$15,Paramètres!$A$1:$I$89,3,0)*VLOOKUP('Données projet'!$B$15,Paramètres!$A$1:$I$89,5,0)</f>
        <v>263.84800000000013</v>
      </c>
      <c r="EL38" s="13">
        <f t="shared" si="45"/>
        <v>63.541913395692205</v>
      </c>
      <c r="EM38" s="20">
        <f t="shared" si="19"/>
        <v>570.20409916416418</v>
      </c>
      <c r="EN38" s="59">
        <f t="shared" si="20"/>
        <v>863.53743249749755</v>
      </c>
      <c r="EO38" s="59">
        <f ca="1">AVERAGE(OFFSET($EN$3,0,0,'Données projet'!$E$15+1,1))-AVERAGE(OFFSET($H$3,0,0,'Données projet'!$E$15+1,1))</f>
        <v>313.36787814924116</v>
      </c>
      <c r="EP38" s="59">
        <f t="shared" si="46"/>
        <v>438.72984487610216</v>
      </c>
      <c r="EQ38" s="15">
        <f>IF(ISNA(VLOOKUP(A38,'Données projet'!$A$191:$I$211,3,0)),0,VLOOKUP(A38,'Données projet'!$A$191:$I$211,3,0))</f>
        <v>6</v>
      </c>
      <c r="ER38" s="15">
        <f>IF(ISNA(VLOOKUP(A38,'Données projet'!$A$191:$I$211,4,0)),0,VLOOKUP(A38,'Données projet'!$A$191:$I$211,4,0))</f>
        <v>84</v>
      </c>
      <c r="ES38" s="16">
        <f>IF(ISNA(VLOOKUP(A38,'Données projet'!$A$191:$I$211,5,0)),0%,VLOOKUP(A38,'Données projet'!$A$191:$I$211,5,0)*VLOOKUP('Données projet'!$B$15,Paramètres!$A$1:$I$89,7,0))</f>
        <v>0.33</v>
      </c>
      <c r="ET38" s="16">
        <f>IF(ISNA(VLOOKUP(A38,'Données projet'!$A$191:$I$211,6,0)),0%,VLOOKUP(A38,'Données projet'!$A$191:$I$211,6,0)*VLOOKUP('Données projet'!$B$15,Paramètres!$A$1:$I$89,7,0))</f>
        <v>0.12100000000000001</v>
      </c>
      <c r="EU38" s="16">
        <f>IF(ISNA(VLOOKUP(A38,'Données projet'!$A$191:$I$211,7,0)),0%,VLOOKUP(A38,'Données projet'!$A$191:$I$211,7,0))</f>
        <v>0.18</v>
      </c>
      <c r="EV38" s="21">
        <f>EXP(-LN(2)/35)*EV37+(1-EXP(-LN(2)/35))/(LN(2)/35)*ER38*ES38*VLOOKUP('Données projet'!$B$15,Paramètres!$A$1:$I$89,3,0)*0.475*44/12</f>
        <v>66.891840153844953</v>
      </c>
      <c r="EW38" s="21">
        <f>EXP(-LN(2)/25)*EW37+(1-EXP(-LN(2)/25))/(LN(2)/25)*Calculateur!ER38*Calculateur!ET38*VLOOKUP('Données projet'!$B$15,Paramètres!$A$1:$I$89,3,0)*0.475*44/12</f>
        <v>35.481343749741271</v>
      </c>
      <c r="EX38" s="21">
        <f>EXP(-LN(2)/2)*EX37+(1-EXP(-LN(2)/2))/(LN(2)/2)*ER38*EU38*VLOOKUP('Données projet'!$B$15,Paramètres!$A$1:$I$89,3,0)*0.475*44/12</f>
        <v>12.088868866096711</v>
      </c>
      <c r="EY38" s="22">
        <f t="shared" si="21"/>
        <v>114.46205276968294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5.4</v>
      </c>
      <c r="N39" s="13">
        <f>IF('Données projet'!$A$36&gt;35,N38+M39-V38,IF(A39&lt;'Données projet'!$A$36,$K$205^A39,IF(A39='Données projet'!$A$36,'Données projet'!$B$36,N38+M39-V38)))</f>
        <v>71.399999999999991</v>
      </c>
      <c r="O39" s="13">
        <f>N39*VLOOKUP('Données projet'!$B$9,Paramètres!$A$1:$I$89,3,0)*VLOOKUP('Données projet'!$B$9,Paramètres!$A$1:$I$89,5,0)</f>
        <v>64.602719999999991</v>
      </c>
      <c r="P39" s="13">
        <f t="shared" si="33"/>
        <v>18.326928056848999</v>
      </c>
      <c r="Q39" s="20">
        <f t="shared" si="53"/>
        <v>144.43580369901198</v>
      </c>
      <c r="R39" s="59">
        <f t="shared" si="0"/>
        <v>437.76913703234527</v>
      </c>
      <c r="S39" s="59">
        <f ca="1">AVERAGE(OFFSET($R$3,0,0,'Données projet'!$E$9+1,1))-AVERAGE(OFFSET($H$3,0,0,'Données projet'!$E$9+1,1))</f>
        <v>173.91998182168385</v>
      </c>
      <c r="T39" s="59">
        <f t="shared" si="34"/>
        <v>72.011647893875363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5.4</v>
      </c>
      <c r="AI39" s="13">
        <f>IF('Données projet'!$A$62&gt;35,AI38+AH39-AQ38,IF(A39&lt;'Données projet'!$A$62,$AF$205^A39,IF(A39='Données projet'!$A$62,'Données projet'!$B$62,AI38+AH39-AQ38)))</f>
        <v>71.399999999999991</v>
      </c>
      <c r="AJ39" s="13">
        <f>AI39*VLOOKUP('Données projet'!$B$10,Paramètres!$A$1:$I$89,3,0)*VLOOKUP('Données projet'!$B$10,Paramètres!$A$1:$I$89,5,0)</f>
        <v>76.854959999999991</v>
      </c>
      <c r="AK39" s="13">
        <f t="shared" si="35"/>
        <v>21.366419773799993</v>
      </c>
      <c r="AL39" s="20">
        <f t="shared" si="4"/>
        <v>171.06890310603498</v>
      </c>
      <c r="AM39" s="59">
        <f t="shared" si="5"/>
        <v>464.40223643936827</v>
      </c>
      <c r="AN39" s="59">
        <f ca="1">AVERAGE(OFFSET($AM$3,0,0,'Données projet'!$E$10+1,1))-AVERAGE(OFFSET($H$3,0,0,'Données projet'!$E$10+1,1))</f>
        <v>150.9416300233616</v>
      </c>
      <c r="AO39" s="59">
        <f t="shared" si="36"/>
        <v>92.286636088269972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5.4</v>
      </c>
      <c r="BD39" s="12">
        <f>IF('Données projet'!$A$88&gt;35,BD38+BC39-BL38,IF(A39&lt;'Données projet'!$A$88,$BA$205^A39,IF(A39='Données projet'!$A$88,'Données projet'!$B$88,BD38+BC39-BL38)))</f>
        <v>71.399999999999991</v>
      </c>
      <c r="BE39" s="13">
        <f>BD39*VLOOKUP('Données projet'!$B$11,Paramètres!$A$1:$I$89,3,0)*VLOOKUP('Données projet'!$B$11,Paramètres!$A$1:$I$89,5,0)</f>
        <v>69.05807999999999</v>
      </c>
      <c r="BF39" s="13">
        <f t="shared" si="37"/>
        <v>19.439361528467131</v>
      </c>
      <c r="BG39" s="20">
        <f t="shared" si="7"/>
        <v>154.13304399541357</v>
      </c>
      <c r="BH39" s="59">
        <f t="shared" si="8"/>
        <v>447.46637732874689</v>
      </c>
      <c r="BI39" s="59">
        <f ca="1">AVERAGE(OFFSET($BH$3,0,0,'Données projet'!$E$11+1,1))-AVERAGE(OFFSET($H$3,0,0,'Données projet'!$E$11+1,1))</f>
        <v>131.02416800340484</v>
      </c>
      <c r="BJ39" s="59">
        <f t="shared" si="38"/>
        <v>79.394119001888555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5.4</v>
      </c>
      <c r="BY39" s="12">
        <f>IF('Données projet'!$A$114&gt;35,BY38+BX39-CG38,IF(A39&lt;'Données projet'!$A$114,$BV$205^A39,IF(A39='Données projet'!$A$114,'Données projet'!$B$114,BY38+BX39-CG38)))</f>
        <v>71.399999999999991</v>
      </c>
      <c r="BZ39" s="13">
        <f>BY39*VLOOKUP('Données projet'!$B$12,Paramètres!$A$1:$I$89,3,0)*VLOOKUP('Données projet'!$B$12,Paramètres!$A$1:$I$89,5,0)</f>
        <v>64.602719999999991</v>
      </c>
      <c r="CA39" s="13">
        <f t="shared" si="39"/>
        <v>18.326928056848999</v>
      </c>
      <c r="CB39" s="20">
        <f t="shared" si="10"/>
        <v>144.43580369901198</v>
      </c>
      <c r="CC39" s="59">
        <f t="shared" si="11"/>
        <v>437.76913703234527</v>
      </c>
      <c r="CD39" s="59">
        <f ca="1">AVERAGE(OFFSET($CC$3,0,0,'Données projet'!$E$12+1,1))-AVERAGE(OFFSET($H$3,0,0,'Données projet'!$E$12+1,1))</f>
        <v>119.62076457560073</v>
      </c>
      <c r="CE39" s="59">
        <f t="shared" si="40"/>
        <v>72.011647893875363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5.4</v>
      </c>
      <c r="CT39" s="12">
        <f>IF('Données projet'!$A$140&gt;35,CT38+CS39-DB38,IF(A39&lt;'Données projet'!$A$140,$CQ$205^A39,IF(A39='Données projet'!$A$140,'Données projet'!$B$140,CT38+CS39-DB38)))</f>
        <v>71.399999999999991</v>
      </c>
      <c r="CU39" s="17">
        <f>CT39*VLOOKUP('Données projet'!$B$13,Paramètres!$A$1:$I$89,3,0)*VLOOKUP('Données projet'!$B$13,Paramètres!$A$1:$I$89,5,0)</f>
        <v>76.854959999999991</v>
      </c>
      <c r="CV39" s="13">
        <f t="shared" si="41"/>
        <v>21.366419773799993</v>
      </c>
      <c r="CW39" s="20">
        <f t="shared" si="13"/>
        <v>171.06890310603498</v>
      </c>
      <c r="CX39" s="59">
        <f t="shared" si="14"/>
        <v>464.40223643936827</v>
      </c>
      <c r="CY39" s="59">
        <f ca="1">AVERAGE(OFFSET($CX$3,0,0,'Données projet'!$E$13+1,1))-AVERAGE(OFFSET($H$3,0,0,'Données projet'!$E$13+1,1))</f>
        <v>150.9416300233616</v>
      </c>
      <c r="CZ39" s="59">
        <f t="shared" si="42"/>
        <v>92.286636088269972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16.2</v>
      </c>
      <c r="DO39" s="12">
        <f>IF('Données projet'!$A$166&gt;35,DO38+DN39-DW38,IF(A39&lt;'Données projet'!$A$166,$DL$205^A39,IF(A39='Données projet'!$A$166,'Données projet'!$B$166,DO38+DN39-DW38)))</f>
        <v>229.2</v>
      </c>
      <c r="DP39" s="17">
        <f>DO39*VLOOKUP('Données projet'!$B$14,Paramètres!$A$1:$I$89,3,0)*VLOOKUP('Données projet'!$B$14,Paramètres!$A$1:$I$89,5,0)</f>
        <v>137.0616</v>
      </c>
      <c r="DQ39" s="13">
        <f t="shared" si="43"/>
        <v>35.623030551198944</v>
      </c>
      <c r="DR39" s="20">
        <f t="shared" si="16"/>
        <v>300.75906487667152</v>
      </c>
      <c r="DS39" s="59">
        <f t="shared" si="17"/>
        <v>594.09239821000483</v>
      </c>
      <c r="DT39" s="59">
        <f ca="1">AVERAGE(OFFSET($DS$3,0,0,'Données projet'!$E$14+1,1))-AVERAGE(OFFSET($H$3,0,0,'Données projet'!$E$14+1,1))</f>
        <v>249.22792522076639</v>
      </c>
      <c r="DU39" s="59">
        <f t="shared" si="44"/>
        <v>244.53725944480669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16.018569203899702</v>
      </c>
      <c r="EB39" s="21">
        <f>EXP(-LN(2)/25)*EB38+(1-EXP(-LN(2)/25))/(LN(2)/25)*Calculateur!DW39*Calculateur!DY39*VLOOKUP('Données projet'!$B$14,Paramètres!$A$1:$I$89,3,0)*0.475*44/12</f>
        <v>15.893053989769868</v>
      </c>
      <c r="EC39" s="21">
        <f>EXP(-LN(2)/2)*EC38+(1-EXP(-LN(2)/2))/(LN(2)/2)*DW39*DZ39*VLOOKUP('Données projet'!$B$14,Paramètres!$A$1:$I$89,3,0)*0.475*44/12</f>
        <v>6.3684010512776048</v>
      </c>
      <c r="ED39" s="22">
        <f t="shared" si="18"/>
        <v>38.280024244947171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30.4</v>
      </c>
      <c r="EJ39" s="12">
        <f>IF('Données projet'!$A$192&gt;35,EJ38+EI39-ER38,IF(A39&lt;'Données projet'!$A$192,$EG$205^A39,IF(A39='Données projet'!$A$192,'Données projet'!$B$192,EJ38+EI39-ER38)))</f>
        <v>418.4000000000002</v>
      </c>
      <c r="EK39" s="17">
        <f>EJ39*VLOOKUP('Données projet'!$B$15,Paramètres!$A$1:$I$89,3,0)*VLOOKUP('Données projet'!$B$15,Paramètres!$A$1:$I$89,5,0)</f>
        <v>233.88560000000012</v>
      </c>
      <c r="EL39" s="13">
        <f t="shared" si="45"/>
        <v>57.122018179296738</v>
      </c>
      <c r="EM39" s="20">
        <f t="shared" si="19"/>
        <v>506.83826832894192</v>
      </c>
      <c r="EN39" s="59">
        <f t="shared" si="20"/>
        <v>800.17160166227518</v>
      </c>
      <c r="EO39" s="59">
        <f ca="1">AVERAGE(OFFSET($EN$3,0,0,'Données projet'!$E$15+1,1))-AVERAGE(OFFSET($H$3,0,0,'Données projet'!$E$15+1,1))</f>
        <v>313.36787814924116</v>
      </c>
      <c r="EP39" s="59">
        <f t="shared" si="46"/>
        <v>438.72984487610216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65.580131968421881</v>
      </c>
      <c r="EW39" s="21">
        <f>EXP(-LN(2)/25)*EW38+(1-EXP(-LN(2)/25))/(LN(2)/25)*Calculateur!ER39*Calculateur!ET39*VLOOKUP('Données projet'!$B$15,Paramètres!$A$1:$I$89,3,0)*0.475*44/12</f>
        <v>34.511104539021822</v>
      </c>
      <c r="EX39" s="21">
        <f>EXP(-LN(2)/2)*EX38+(1-EXP(-LN(2)/2))/(LN(2)/2)*ER39*EU39*VLOOKUP('Données projet'!$B$15,Paramètres!$A$1:$I$89,3,0)*0.475*44/12</f>
        <v>8.5481211520919143</v>
      </c>
      <c r="EY39" s="22">
        <f t="shared" si="21"/>
        <v>108.63935765953562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5.4</v>
      </c>
      <c r="N40" s="13">
        <f>IF('Données projet'!$A$36&gt;35,N39+M40-V39,IF(A40&lt;'Données projet'!$A$36,$K$205^A40,IF(A40='Données projet'!$A$36,'Données projet'!$B$36,N39+M40-V39)))</f>
        <v>76.8</v>
      </c>
      <c r="O40" s="13">
        <f>N40*VLOOKUP('Données projet'!$B$9,Paramètres!$A$1:$I$89,3,0)*VLOOKUP('Données projet'!$B$9,Paramètres!$A$1:$I$89,5,0)</f>
        <v>69.488640000000004</v>
      </c>
      <c r="P40" s="13">
        <f t="shared" si="33"/>
        <v>19.546414723012209</v>
      </c>
      <c r="Q40" s="20">
        <f t="shared" si="53"/>
        <v>155.06938697591292</v>
      </c>
      <c r="R40" s="59">
        <f t="shared" si="0"/>
        <v>448.40272030924621</v>
      </c>
      <c r="S40" s="59">
        <f ca="1">AVERAGE(OFFSET($R$3,0,0,'Données projet'!$E$9+1,1))-AVERAGE(OFFSET($H$3,0,0,'Données projet'!$E$9+1,1))</f>
        <v>173.91998182168385</v>
      </c>
      <c r="T40" s="59">
        <f t="shared" si="34"/>
        <v>72.011647893875363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5.4</v>
      </c>
      <c r="AI40" s="13">
        <f>IF('Données projet'!$A$62&gt;35,AI39+AH40-AQ39,IF(A40&lt;'Données projet'!$A$62,$AF$205^A40,IF(A40='Données projet'!$A$62,'Données projet'!$B$62,AI39+AH40-AQ39)))</f>
        <v>76.8</v>
      </c>
      <c r="AJ40" s="13">
        <f>AI40*VLOOKUP('Données projet'!$B$10,Paramètres!$A$1:$I$89,3,0)*VLOOKUP('Données projet'!$B$10,Paramètres!$A$1:$I$89,5,0)</f>
        <v>82.667519999999996</v>
      </c>
      <c r="AK40" s="13">
        <f t="shared" si="35"/>
        <v>22.788156353818806</v>
      </c>
      <c r="AL40" s="20">
        <f t="shared" si="4"/>
        <v>183.6686363162344</v>
      </c>
      <c r="AM40" s="59">
        <f t="shared" si="5"/>
        <v>477.00196964956774</v>
      </c>
      <c r="AN40" s="59">
        <f ca="1">AVERAGE(OFFSET($AM$3,0,0,'Données projet'!$E$10+1,1))-AVERAGE(OFFSET($H$3,0,0,'Données projet'!$E$10+1,1))</f>
        <v>150.9416300233616</v>
      </c>
      <c r="AO40" s="59">
        <f t="shared" si="36"/>
        <v>92.286636088269972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5.4</v>
      </c>
      <c r="BD40" s="12">
        <f>IF('Données projet'!$A$88&gt;35,BD39+BC40-BL39,IF(A40&lt;'Données projet'!$A$88,$BA$205^A40,IF(A40='Données projet'!$A$88,'Données projet'!$B$88,BD39+BC40-BL39)))</f>
        <v>76.8</v>
      </c>
      <c r="BE40" s="13">
        <f>BD40*VLOOKUP('Données projet'!$B$11,Paramètres!$A$1:$I$89,3,0)*VLOOKUP('Données projet'!$B$11,Paramètres!$A$1:$I$89,5,0)</f>
        <v>74.280960000000007</v>
      </c>
      <c r="BF40" s="13">
        <f t="shared" si="37"/>
        <v>20.732870299230971</v>
      </c>
      <c r="BG40" s="20">
        <f t="shared" si="7"/>
        <v>165.48242110449394</v>
      </c>
      <c r="BH40" s="59">
        <f t="shared" si="8"/>
        <v>458.81575443782725</v>
      </c>
      <c r="BI40" s="59">
        <f ca="1">AVERAGE(OFFSET($BH$3,0,0,'Données projet'!$E$11+1,1))-AVERAGE(OFFSET($H$3,0,0,'Données projet'!$E$11+1,1))</f>
        <v>131.02416800340484</v>
      </c>
      <c r="BJ40" s="59">
        <f t="shared" si="38"/>
        <v>79.394119001888555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5.4</v>
      </c>
      <c r="BY40" s="12">
        <f>IF('Données projet'!$A$114&gt;35,BY39+BX40-CG39,IF(A40&lt;'Données projet'!$A$114,$BV$205^A40,IF(A40='Données projet'!$A$114,'Données projet'!$B$114,BY39+BX40-CG39)))</f>
        <v>76.8</v>
      </c>
      <c r="BZ40" s="13">
        <f>BY40*VLOOKUP('Données projet'!$B$12,Paramètres!$A$1:$I$89,3,0)*VLOOKUP('Données projet'!$B$12,Paramètres!$A$1:$I$89,5,0)</f>
        <v>69.488640000000004</v>
      </c>
      <c r="CA40" s="13">
        <f t="shared" si="39"/>
        <v>19.546414723012209</v>
      </c>
      <c r="CB40" s="20">
        <f t="shared" si="10"/>
        <v>155.06938697591292</v>
      </c>
      <c r="CC40" s="59">
        <f t="shared" si="11"/>
        <v>448.40272030924621</v>
      </c>
      <c r="CD40" s="59">
        <f ca="1">AVERAGE(OFFSET($CC$3,0,0,'Données projet'!$E$12+1,1))-AVERAGE(OFFSET($H$3,0,0,'Données projet'!$E$12+1,1))</f>
        <v>119.62076457560073</v>
      </c>
      <c r="CE40" s="59">
        <f t="shared" si="40"/>
        <v>72.011647893875363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5.4</v>
      </c>
      <c r="CT40" s="12">
        <f>IF('Données projet'!$A$140&gt;35,CT39+CS40-DB39,IF(A40&lt;'Données projet'!$A$140,$CQ$205^A40,IF(A40='Données projet'!$A$140,'Données projet'!$B$140,CT39+CS40-DB39)))</f>
        <v>76.8</v>
      </c>
      <c r="CU40" s="17">
        <f>CT40*VLOOKUP('Données projet'!$B$13,Paramètres!$A$1:$I$89,3,0)*VLOOKUP('Données projet'!$B$13,Paramètres!$A$1:$I$89,5,0)</f>
        <v>82.667519999999996</v>
      </c>
      <c r="CV40" s="13">
        <f t="shared" si="41"/>
        <v>22.788156353818806</v>
      </c>
      <c r="CW40" s="20">
        <f t="shared" si="13"/>
        <v>183.6686363162344</v>
      </c>
      <c r="CX40" s="59">
        <f t="shared" si="14"/>
        <v>477.00196964956774</v>
      </c>
      <c r="CY40" s="59">
        <f ca="1">AVERAGE(OFFSET($CX$3,0,0,'Données projet'!$E$13+1,1))-AVERAGE(OFFSET($H$3,0,0,'Données projet'!$E$13+1,1))</f>
        <v>150.9416300233616</v>
      </c>
      <c r="CZ40" s="59">
        <f t="shared" si="42"/>
        <v>92.286636088269972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16.2</v>
      </c>
      <c r="DO40" s="12">
        <f>IF('Données projet'!$A$166&gt;35,DO39+DN40-DW39,IF(A40&lt;'Données projet'!$A$166,$DL$205^A40,IF(A40='Données projet'!$A$166,'Données projet'!$B$166,DO39+DN40-DW39)))</f>
        <v>245.39999999999998</v>
      </c>
      <c r="DP40" s="17">
        <f>DO40*VLOOKUP('Données projet'!$B$14,Paramètres!$A$1:$I$89,3,0)*VLOOKUP('Données projet'!$B$14,Paramètres!$A$1:$I$89,5,0)</f>
        <v>146.7492</v>
      </c>
      <c r="DQ40" s="13">
        <f t="shared" si="43"/>
        <v>37.838890253012799</v>
      </c>
      <c r="DR40" s="20">
        <f t="shared" si="16"/>
        <v>321.49092385733064</v>
      </c>
      <c r="DS40" s="59">
        <f t="shared" si="17"/>
        <v>614.82425719066396</v>
      </c>
      <c r="DT40" s="59">
        <f ca="1">AVERAGE(OFFSET($DS$3,0,0,'Données projet'!$E$14+1,1))-AVERAGE(OFFSET($H$3,0,0,'Données projet'!$E$14+1,1))</f>
        <v>249.22792522076639</v>
      </c>
      <c r="DU40" s="59">
        <f t="shared" si="44"/>
        <v>244.53725944480669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15.704454832173701</v>
      </c>
      <c r="EB40" s="21">
        <f>EXP(-LN(2)/25)*EB39+(1-EXP(-LN(2)/25))/(LN(2)/25)*Calculateur!DW40*Calculateur!DY40*VLOOKUP('Données projet'!$B$14,Paramètres!$A$1:$I$89,3,0)*0.475*44/12</f>
        <v>15.458457592640226</v>
      </c>
      <c r="EC40" s="21">
        <f>EXP(-LN(2)/2)*EC39+(1-EXP(-LN(2)/2))/(LN(2)/2)*DW40*DZ40*VLOOKUP('Données projet'!$B$14,Paramètres!$A$1:$I$89,3,0)*0.475*44/12</f>
        <v>4.5031395686739328</v>
      </c>
      <c r="ED40" s="22">
        <f t="shared" si="18"/>
        <v>35.666051993487855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30.4</v>
      </c>
      <c r="EJ40" s="12">
        <f>IF('Données projet'!$A$192&gt;35,EJ39+EI40-ER39,IF(A40&lt;'Données projet'!$A$192,$EG$205^A40,IF(A40='Données projet'!$A$192,'Données projet'!$B$192,EJ39+EI40-ER39)))</f>
        <v>448.80000000000018</v>
      </c>
      <c r="EK40" s="17">
        <f>EJ40*VLOOKUP('Données projet'!$B$15,Paramètres!$A$1:$I$89,3,0)*VLOOKUP('Données projet'!$B$15,Paramètres!$A$1:$I$89,5,0)</f>
        <v>250.87920000000008</v>
      </c>
      <c r="EL40" s="13">
        <f t="shared" si="45"/>
        <v>60.774169815989353</v>
      </c>
      <c r="EM40" s="20">
        <f t="shared" si="19"/>
        <v>542.79628576284824</v>
      </c>
      <c r="EN40" s="59">
        <f t="shared" si="20"/>
        <v>836.12961909618161</v>
      </c>
      <c r="EO40" s="59">
        <f ca="1">AVERAGE(OFFSET($EN$3,0,0,'Données projet'!$E$15+1,1))-AVERAGE(OFFSET($H$3,0,0,'Données projet'!$E$15+1,1))</f>
        <v>313.36787814924116</v>
      </c>
      <c r="EP40" s="59">
        <f t="shared" si="46"/>
        <v>438.72984487610216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64.294145580451968</v>
      </c>
      <c r="EW40" s="21">
        <f>EXP(-LN(2)/25)*EW39+(1-EXP(-LN(2)/25))/(LN(2)/25)*Calculateur!ER40*Calculateur!ET40*VLOOKUP('Données projet'!$B$15,Paramètres!$A$1:$I$89,3,0)*0.475*44/12</f>
        <v>33.567396570542158</v>
      </c>
      <c r="EX40" s="21">
        <f>EXP(-LN(2)/2)*EX39+(1-EXP(-LN(2)/2))/(LN(2)/2)*ER40*EU40*VLOOKUP('Données projet'!$B$15,Paramètres!$A$1:$I$89,3,0)*0.475*44/12</f>
        <v>6.0444344330483561</v>
      </c>
      <c r="EY40" s="22">
        <f t="shared" si="21"/>
        <v>103.90597658404248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5.4</v>
      </c>
      <c r="N41" s="13">
        <f>IF('Données projet'!$A$36&gt;35,N40+M41-V40,IF(A41&lt;'Données projet'!$A$36,$K$205^A41,IF(A41='Données projet'!$A$36,'Données projet'!$B$36,N40+M41-V40)))</f>
        <v>82.2</v>
      </c>
      <c r="O41" s="13">
        <f>N41*VLOOKUP('Données projet'!$B$9,Paramètres!$A$1:$I$89,3,0)*VLOOKUP('Données projet'!$B$9,Paramètres!$A$1:$I$89,5,0)</f>
        <v>74.374559999999988</v>
      </c>
      <c r="P41" s="13">
        <f t="shared" si="33"/>
        <v>20.755952735382312</v>
      </c>
      <c r="Q41" s="20">
        <f t="shared" si="53"/>
        <v>165.68564301412417</v>
      </c>
      <c r="R41" s="59">
        <f t="shared" si="0"/>
        <v>459.01897634745751</v>
      </c>
      <c r="S41" s="59">
        <f ca="1">AVERAGE(OFFSET($R$3,0,0,'Données projet'!$E$9+1,1))-AVERAGE(OFFSET($H$3,0,0,'Données projet'!$E$9+1,1))</f>
        <v>173.91998182168385</v>
      </c>
      <c r="T41" s="59">
        <f t="shared" si="34"/>
        <v>72.011647893875363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5.4</v>
      </c>
      <c r="AI41" s="13">
        <f>IF('Données projet'!$A$62&gt;35,AI40+AH41-AQ40,IF(A41&lt;'Données projet'!$A$62,$AF$205^A41,IF(A41='Données projet'!$A$62,'Données projet'!$B$62,AI40+AH41-AQ40)))</f>
        <v>82.2</v>
      </c>
      <c r="AJ41" s="13">
        <f>AI41*VLOOKUP('Données projet'!$B$10,Paramètres!$A$1:$I$89,3,0)*VLOOKUP('Données projet'!$B$10,Paramètres!$A$1:$I$89,5,0)</f>
        <v>88.480080000000001</v>
      </c>
      <c r="AK41" s="13">
        <f t="shared" si="35"/>
        <v>24.1982943117189</v>
      </c>
      <c r="AL41" s="20">
        <f t="shared" si="4"/>
        <v>196.24816859291039</v>
      </c>
      <c r="AM41" s="59">
        <f t="shared" si="5"/>
        <v>489.58150192624373</v>
      </c>
      <c r="AN41" s="59">
        <f ca="1">AVERAGE(OFFSET($AM$3,0,0,'Données projet'!$E$10+1,1))-AVERAGE(OFFSET($H$3,0,0,'Données projet'!$E$10+1,1))</f>
        <v>150.9416300233616</v>
      </c>
      <c r="AO41" s="59">
        <f t="shared" si="36"/>
        <v>92.286636088269972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5.4</v>
      </c>
      <c r="BD41" s="12">
        <f>IF('Données projet'!$A$88&gt;35,BD40+BC41-BL40,IF(A41&lt;'Données projet'!$A$88,$BA$205^A41,IF(A41='Données projet'!$A$88,'Données projet'!$B$88,BD40+BC41-BL40)))</f>
        <v>82.2</v>
      </c>
      <c r="BE41" s="13">
        <f>BD41*VLOOKUP('Données projet'!$B$11,Paramètres!$A$1:$I$89,3,0)*VLOOKUP('Données projet'!$B$11,Paramètres!$A$1:$I$89,5,0)</f>
        <v>79.503839999999997</v>
      </c>
      <c r="BF41" s="13">
        <f t="shared" si="37"/>
        <v>22.015826538921051</v>
      </c>
      <c r="BG41" s="20">
        <f t="shared" si="7"/>
        <v>176.81341922195415</v>
      </c>
      <c r="BH41" s="59">
        <f t="shared" si="8"/>
        <v>470.14675255528743</v>
      </c>
      <c r="BI41" s="59">
        <f ca="1">AVERAGE(OFFSET($BH$3,0,0,'Données projet'!$E$11+1,1))-AVERAGE(OFFSET($H$3,0,0,'Données projet'!$E$11+1,1))</f>
        <v>131.02416800340484</v>
      </c>
      <c r="BJ41" s="59">
        <f t="shared" si="38"/>
        <v>79.394119001888555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5.4</v>
      </c>
      <c r="BY41" s="12">
        <f>IF('Données projet'!$A$114&gt;35,BY40+BX41-CG40,IF(A41&lt;'Données projet'!$A$114,$BV$205^A41,IF(A41='Données projet'!$A$114,'Données projet'!$B$114,BY40+BX41-CG40)))</f>
        <v>82.2</v>
      </c>
      <c r="BZ41" s="13">
        <f>BY41*VLOOKUP('Données projet'!$B$12,Paramètres!$A$1:$I$89,3,0)*VLOOKUP('Données projet'!$B$12,Paramètres!$A$1:$I$89,5,0)</f>
        <v>74.374559999999988</v>
      </c>
      <c r="CA41" s="13">
        <f t="shared" si="39"/>
        <v>20.755952735382312</v>
      </c>
      <c r="CB41" s="20">
        <f t="shared" si="10"/>
        <v>165.68564301412417</v>
      </c>
      <c r="CC41" s="59">
        <f t="shared" si="11"/>
        <v>459.01897634745751</v>
      </c>
      <c r="CD41" s="59">
        <f ca="1">AVERAGE(OFFSET($CC$3,0,0,'Données projet'!$E$12+1,1))-AVERAGE(OFFSET($H$3,0,0,'Données projet'!$E$12+1,1))</f>
        <v>119.62076457560073</v>
      </c>
      <c r="CE41" s="59">
        <f t="shared" si="40"/>
        <v>72.011647893875363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5.4</v>
      </c>
      <c r="CT41" s="12">
        <f>IF('Données projet'!$A$140&gt;35,CT40+CS41-DB40,IF(A41&lt;'Données projet'!$A$140,$CQ$205^A41,IF(A41='Données projet'!$A$140,'Données projet'!$B$140,CT40+CS41-DB40)))</f>
        <v>82.2</v>
      </c>
      <c r="CU41" s="17">
        <f>CT41*VLOOKUP('Données projet'!$B$13,Paramètres!$A$1:$I$89,3,0)*VLOOKUP('Données projet'!$B$13,Paramètres!$A$1:$I$89,5,0)</f>
        <v>88.480080000000001</v>
      </c>
      <c r="CV41" s="13">
        <f t="shared" si="41"/>
        <v>24.1982943117189</v>
      </c>
      <c r="CW41" s="20">
        <f t="shared" si="13"/>
        <v>196.24816859291039</v>
      </c>
      <c r="CX41" s="59">
        <f t="shared" si="14"/>
        <v>489.58150192624373</v>
      </c>
      <c r="CY41" s="59">
        <f ca="1">AVERAGE(OFFSET($CX$3,0,0,'Données projet'!$E$13+1,1))-AVERAGE(OFFSET($H$3,0,0,'Données projet'!$E$13+1,1))</f>
        <v>150.9416300233616</v>
      </c>
      <c r="CZ41" s="59">
        <f t="shared" si="42"/>
        <v>92.286636088269972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16.2</v>
      </c>
      <c r="DO41" s="12">
        <f>IF('Données projet'!$A$166&gt;35,DO40+DN41-DW40,IF(A41&lt;'Données projet'!$A$166,$DL$205^A41,IF(A41='Données projet'!$A$166,'Données projet'!$B$166,DO40+DN41-DW40)))</f>
        <v>261.59999999999997</v>
      </c>
      <c r="DP41" s="17">
        <f>DO41*VLOOKUP('Données projet'!$B$14,Paramètres!$A$1:$I$89,3,0)*VLOOKUP('Données projet'!$B$14,Paramètres!$A$1:$I$89,5,0)</f>
        <v>156.43679999999998</v>
      </c>
      <c r="DQ41" s="13">
        <f t="shared" si="43"/>
        <v>40.037775291207829</v>
      </c>
      <c r="DR41" s="20">
        <f t="shared" si="16"/>
        <v>342.19321863218693</v>
      </c>
      <c r="DS41" s="59">
        <f t="shared" si="17"/>
        <v>635.52655196552018</v>
      </c>
      <c r="DT41" s="59">
        <f ca="1">AVERAGE(OFFSET($DS$3,0,0,'Données projet'!$E$14+1,1))-AVERAGE(OFFSET($H$3,0,0,'Données projet'!$E$14+1,1))</f>
        <v>249.22792522076639</v>
      </c>
      <c r="DU41" s="59">
        <f t="shared" si="44"/>
        <v>244.53725944480669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15.396500051686397</v>
      </c>
      <c r="EB41" s="21">
        <f>EXP(-LN(2)/25)*EB40+(1-EXP(-LN(2)/25))/(LN(2)/25)*Calculateur!DW41*Calculateur!DY41*VLOOKUP('Données projet'!$B$14,Paramètres!$A$1:$I$89,3,0)*0.475*44/12</f>
        <v>15.035745256844525</v>
      </c>
      <c r="EC41" s="21">
        <f>EXP(-LN(2)/2)*EC40+(1-EXP(-LN(2)/2))/(LN(2)/2)*DW41*DZ41*VLOOKUP('Données projet'!$B$14,Paramètres!$A$1:$I$89,3,0)*0.475*44/12</f>
        <v>3.1842005256388028</v>
      </c>
      <c r="ED41" s="22">
        <f t="shared" si="18"/>
        <v>33.616445834169724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30.4</v>
      </c>
      <c r="EJ41" s="12">
        <f>IF('Données projet'!$A$192&gt;35,EJ40+EI41-ER40,IF(A41&lt;'Données projet'!$A$192,$EG$205^A41,IF(A41='Données projet'!$A$192,'Données projet'!$B$192,EJ40+EI41-ER40)))</f>
        <v>479.20000000000016</v>
      </c>
      <c r="EK41" s="17">
        <f>EJ41*VLOOKUP('Données projet'!$B$15,Paramètres!$A$1:$I$89,3,0)*VLOOKUP('Données projet'!$B$15,Paramètres!$A$1:$I$89,5,0)</f>
        <v>267.8728000000001</v>
      </c>
      <c r="EL41" s="13">
        <f t="shared" si="45"/>
        <v>64.397616150255317</v>
      </c>
      <c r="EM41" s="20">
        <f t="shared" si="19"/>
        <v>578.7043081283615</v>
      </c>
      <c r="EN41" s="59">
        <f t="shared" si="20"/>
        <v>872.03764146169488</v>
      </c>
      <c r="EO41" s="59">
        <f ca="1">AVERAGE(OFFSET($EN$3,0,0,'Données projet'!$E$15+1,1))-AVERAGE(OFFSET($H$3,0,0,'Données projet'!$E$15+1,1))</f>
        <v>313.36787814924116</v>
      </c>
      <c r="EP41" s="59">
        <f t="shared" si="46"/>
        <v>438.72984487610216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63.033376601175895</v>
      </c>
      <c r="EW41" s="21">
        <f>EXP(-LN(2)/25)*EW40+(1-EXP(-LN(2)/25))/(LN(2)/25)*Calculateur!ER41*Calculateur!ET41*VLOOKUP('Données projet'!$B$15,Paramètres!$A$1:$I$89,3,0)*0.475*44/12</f>
        <v>32.649494346088019</v>
      </c>
      <c r="EX41" s="21">
        <f>EXP(-LN(2)/2)*EX40+(1-EXP(-LN(2)/2))/(LN(2)/2)*ER41*EU41*VLOOKUP('Données projet'!$B$15,Paramètres!$A$1:$I$89,3,0)*0.475*44/12</f>
        <v>4.274060576045958</v>
      </c>
      <c r="EY41" s="22">
        <f t="shared" si="21"/>
        <v>99.956931523309876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5.4</v>
      </c>
      <c r="N42" s="13">
        <f>IF('Données projet'!$A$36&gt;35,N41+M42-V41,IF(A42&lt;'Données projet'!$A$36,$K$205^A42,IF(A42='Données projet'!$A$36,'Données projet'!$B$36,N41+M42-V41)))</f>
        <v>87.600000000000009</v>
      </c>
      <c r="O42" s="13">
        <f>N42*VLOOKUP('Données projet'!$B$9,Paramètres!$A$1:$I$89,3,0)*VLOOKUP('Données projet'!$B$9,Paramètres!$A$1:$I$89,5,0)</f>
        <v>79.260480000000001</v>
      </c>
      <c r="P42" s="13">
        <f t="shared" si="33"/>
        <v>21.956270028417133</v>
      </c>
      <c r="Q42" s="20">
        <f t="shared" si="53"/>
        <v>176.28583963282651</v>
      </c>
      <c r="R42" s="59">
        <f t="shared" si="0"/>
        <v>469.61917296615979</v>
      </c>
      <c r="S42" s="59">
        <f ca="1">AVERAGE(OFFSET($R$3,0,0,'Données projet'!$E$9+1,1))-AVERAGE(OFFSET($H$3,0,0,'Données projet'!$E$9+1,1))</f>
        <v>173.91998182168385</v>
      </c>
      <c r="T42" s="59">
        <f t="shared" si="34"/>
        <v>72.011647893875363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5.4</v>
      </c>
      <c r="AI42" s="13">
        <f>IF('Données projet'!$A$62&gt;35,AI41+AH42-AQ41,IF(A42&lt;'Données projet'!$A$62,$AF$205^A42,IF(A42='Données projet'!$A$62,'Données projet'!$B$62,AI41+AH42-AQ41)))</f>
        <v>87.600000000000009</v>
      </c>
      <c r="AJ42" s="13">
        <f>AI42*VLOOKUP('Données projet'!$B$10,Paramètres!$A$1:$I$89,3,0)*VLOOKUP('Données projet'!$B$10,Paramètres!$A$1:$I$89,5,0)</f>
        <v>94.292640000000006</v>
      </c>
      <c r="AK42" s="13">
        <f t="shared" si="35"/>
        <v>25.597682308724192</v>
      </c>
      <c r="AL42" s="20">
        <f t="shared" si="4"/>
        <v>208.80897802102797</v>
      </c>
      <c r="AM42" s="59">
        <f t="shared" si="5"/>
        <v>502.14231135436125</v>
      </c>
      <c r="AN42" s="59">
        <f ca="1">AVERAGE(OFFSET($AM$3,0,0,'Données projet'!$E$10+1,1))-AVERAGE(OFFSET($H$3,0,0,'Données projet'!$E$10+1,1))</f>
        <v>150.9416300233616</v>
      </c>
      <c r="AO42" s="59">
        <f t="shared" si="36"/>
        <v>92.286636088269972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5.4</v>
      </c>
      <c r="BD42" s="12">
        <f>IF('Données projet'!$A$88&gt;35,BD41+BC42-BL41,IF(A42&lt;'Données projet'!$A$88,$BA$205^A42,IF(A42='Données projet'!$A$88,'Données projet'!$B$88,BD41+BC42-BL41)))</f>
        <v>87.600000000000009</v>
      </c>
      <c r="BE42" s="13">
        <f>BD42*VLOOKUP('Données projet'!$B$11,Paramètres!$A$1:$I$89,3,0)*VLOOKUP('Données projet'!$B$11,Paramètres!$A$1:$I$89,5,0)</f>
        <v>84.726720000000014</v>
      </c>
      <c r="BF42" s="13">
        <f t="shared" si="37"/>
        <v>23.289002367177517</v>
      </c>
      <c r="BG42" s="20">
        <f t="shared" si="7"/>
        <v>188.1273831228342</v>
      </c>
      <c r="BH42" s="59">
        <f t="shared" si="8"/>
        <v>481.46071645616752</v>
      </c>
      <c r="BI42" s="59">
        <f ca="1">AVERAGE(OFFSET($BH$3,0,0,'Données projet'!$E$11+1,1))-AVERAGE(OFFSET($H$3,0,0,'Données projet'!$E$11+1,1))</f>
        <v>131.02416800340484</v>
      </c>
      <c r="BJ42" s="59">
        <f t="shared" si="38"/>
        <v>79.394119001888555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5.4</v>
      </c>
      <c r="BY42" s="12">
        <f>IF('Données projet'!$A$114&gt;35,BY41+BX42-CG41,IF(A42&lt;'Données projet'!$A$114,$BV$205^A42,IF(A42='Données projet'!$A$114,'Données projet'!$B$114,BY41+BX42-CG41)))</f>
        <v>87.600000000000009</v>
      </c>
      <c r="BZ42" s="13">
        <f>BY42*VLOOKUP('Données projet'!$B$12,Paramètres!$A$1:$I$89,3,0)*VLOOKUP('Données projet'!$B$12,Paramètres!$A$1:$I$89,5,0)</f>
        <v>79.260480000000001</v>
      </c>
      <c r="CA42" s="13">
        <f t="shared" si="39"/>
        <v>21.956270028417133</v>
      </c>
      <c r="CB42" s="20">
        <f t="shared" si="10"/>
        <v>176.28583963282651</v>
      </c>
      <c r="CC42" s="59">
        <f t="shared" si="11"/>
        <v>469.61917296615979</v>
      </c>
      <c r="CD42" s="59">
        <f ca="1">AVERAGE(OFFSET($CC$3,0,0,'Données projet'!$E$12+1,1))-AVERAGE(OFFSET($H$3,0,0,'Données projet'!$E$12+1,1))</f>
        <v>119.62076457560073</v>
      </c>
      <c r="CE42" s="59">
        <f t="shared" si="40"/>
        <v>72.011647893875363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5.4</v>
      </c>
      <c r="CT42" s="12">
        <f>IF('Données projet'!$A$140&gt;35,CT41+CS42-DB41,IF(A42&lt;'Données projet'!$A$140,$CQ$205^A42,IF(A42='Données projet'!$A$140,'Données projet'!$B$140,CT41+CS42-DB41)))</f>
        <v>87.600000000000009</v>
      </c>
      <c r="CU42" s="17">
        <f>CT42*VLOOKUP('Données projet'!$B$13,Paramètres!$A$1:$I$89,3,0)*VLOOKUP('Données projet'!$B$13,Paramètres!$A$1:$I$89,5,0)</f>
        <v>94.292640000000006</v>
      </c>
      <c r="CV42" s="13">
        <f t="shared" si="41"/>
        <v>25.597682308724192</v>
      </c>
      <c r="CW42" s="20">
        <f t="shared" si="13"/>
        <v>208.80897802102797</v>
      </c>
      <c r="CX42" s="59">
        <f t="shared" si="14"/>
        <v>502.14231135436125</v>
      </c>
      <c r="CY42" s="59">
        <f ca="1">AVERAGE(OFFSET($CX$3,0,0,'Données projet'!$E$13+1,1))-AVERAGE(OFFSET($H$3,0,0,'Données projet'!$E$13+1,1))</f>
        <v>150.9416300233616</v>
      </c>
      <c r="CZ42" s="59">
        <f t="shared" si="42"/>
        <v>92.286636088269972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16.2</v>
      </c>
      <c r="DO42" s="12">
        <f>IF('Données projet'!$A$166&gt;35,DO41+DN42-DW41,IF(A42&lt;'Données projet'!$A$166,$DL$205^A42,IF(A42='Données projet'!$A$166,'Données projet'!$B$166,DO41+DN42-DW41)))</f>
        <v>277.79999999999995</v>
      </c>
      <c r="DP42" s="17">
        <f>DO42*VLOOKUP('Données projet'!$B$14,Paramètres!$A$1:$I$89,3,0)*VLOOKUP('Données projet'!$B$14,Paramètres!$A$1:$I$89,5,0)</f>
        <v>166.12439999999998</v>
      </c>
      <c r="DQ42" s="13">
        <f t="shared" si="43"/>
        <v>42.22085652975278</v>
      </c>
      <c r="DR42" s="20">
        <f t="shared" si="16"/>
        <v>362.86798845598605</v>
      </c>
      <c r="DS42" s="59">
        <f t="shared" si="17"/>
        <v>656.20132178931931</v>
      </c>
      <c r="DT42" s="59">
        <f ca="1">AVERAGE(OFFSET($DS$3,0,0,'Données projet'!$E$14+1,1))-AVERAGE(OFFSET($H$3,0,0,'Données projet'!$E$14+1,1))</f>
        <v>249.22792522076639</v>
      </c>
      <c r="DU42" s="59">
        <f t="shared" si="44"/>
        <v>244.53725944480669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15.09458407661058</v>
      </c>
      <c r="EB42" s="21">
        <f>EXP(-LN(2)/25)*EB41+(1-EXP(-LN(2)/25))/(LN(2)/25)*Calculateur!DW42*Calculateur!DY42*VLOOKUP('Données projet'!$B$14,Paramètres!$A$1:$I$89,3,0)*0.475*44/12</f>
        <v>14.624592012100633</v>
      </c>
      <c r="EC42" s="21">
        <f>EXP(-LN(2)/2)*EC41+(1-EXP(-LN(2)/2))/(LN(2)/2)*DW42*DZ42*VLOOKUP('Données projet'!$B$14,Paramètres!$A$1:$I$89,3,0)*0.475*44/12</f>
        <v>2.2515697843369669</v>
      </c>
      <c r="ED42" s="22">
        <f t="shared" si="18"/>
        <v>31.97074587304818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30.4</v>
      </c>
      <c r="EJ42" s="12">
        <f>IF('Données projet'!$A$192&gt;35,EJ41+EI42-ER41,IF(A42&lt;'Données projet'!$A$192,$EG$205^A42,IF(A42='Données projet'!$A$192,'Données projet'!$B$192,EJ41+EI42-ER41)))</f>
        <v>509.60000000000014</v>
      </c>
      <c r="EK42" s="17">
        <f>EJ42*VLOOKUP('Données projet'!$B$15,Paramètres!$A$1:$I$89,3,0)*VLOOKUP('Données projet'!$B$15,Paramètres!$A$1:$I$89,5,0)</f>
        <v>284.86640000000006</v>
      </c>
      <c r="EL42" s="13">
        <f t="shared" si="45"/>
        <v>67.994385506982709</v>
      </c>
      <c r="EM42" s="20">
        <f t="shared" si="19"/>
        <v>614.5658680913283</v>
      </c>
      <c r="EN42" s="59">
        <f t="shared" si="20"/>
        <v>907.89920142466167</v>
      </c>
      <c r="EO42" s="59">
        <f ca="1">AVERAGE(OFFSET($EN$3,0,0,'Données projet'!$E$15+1,1))-AVERAGE(OFFSET($H$3,0,0,'Données projet'!$E$15+1,1))</f>
        <v>313.36787814924116</v>
      </c>
      <c r="EP42" s="59">
        <f t="shared" si="46"/>
        <v>438.72984487610216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61.79733053259028</v>
      </c>
      <c r="EW42" s="21">
        <f>EXP(-LN(2)/25)*EW41+(1-EXP(-LN(2)/25))/(LN(2)/25)*Calculateur!ER42*Calculateur!ET42*VLOOKUP('Données projet'!$B$15,Paramètres!$A$1:$I$89,3,0)*0.475*44/12</f>
        <v>31.756692206231957</v>
      </c>
      <c r="EX42" s="21">
        <f>EXP(-LN(2)/2)*EX41+(1-EXP(-LN(2)/2))/(LN(2)/2)*ER42*EU42*VLOOKUP('Données projet'!$B$15,Paramètres!$A$1:$I$89,3,0)*0.475*44/12</f>
        <v>3.0222172165241785</v>
      </c>
      <c r="EY42" s="22">
        <f t="shared" si="21"/>
        <v>96.576239955346423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93</v>
      </c>
      <c r="L43" s="12">
        <f>VLOOKUP(A43,'Données projet'!$A$35:$I$55,9,0)</f>
        <v>5.4</v>
      </c>
      <c r="M43" s="12">
        <f t="array" ref="M43">INDEX(L:L,MIN(IF(ISNUMBER(L43:L239),ROW(L43:L239),"")))</f>
        <v>5.4</v>
      </c>
      <c r="N43" s="13">
        <f>IF('Données projet'!$A$36&gt;35,N42+M43-V42,IF(A43&lt;'Données projet'!$A$36,$K$205^A43,IF(A43='Données projet'!$A$36,'Données projet'!$B$36,N42+M43-V42)))</f>
        <v>93.000000000000014</v>
      </c>
      <c r="O43" s="13">
        <f>N43*VLOOKUP('Données projet'!$B$9,Paramètres!$A$1:$I$89,3,0)*VLOOKUP('Données projet'!$B$9,Paramètres!$A$1:$I$89,5,0)</f>
        <v>84.146400000000014</v>
      </c>
      <c r="P43" s="13">
        <f t="shared" si="33"/>
        <v>23.14799971956144</v>
      </c>
      <c r="Q43" s="20">
        <f t="shared" si="53"/>
        <v>186.87107951156952</v>
      </c>
      <c r="R43" s="59">
        <f t="shared" si="0"/>
        <v>480.20441284490283</v>
      </c>
      <c r="S43" s="59">
        <f ca="1">AVERAGE(OFFSET($R$3,0,0,'Données projet'!$E$9+1,1))-AVERAGE(OFFSET($H$3,0,0,'Données projet'!$E$9+1,1))</f>
        <v>173.91998182168385</v>
      </c>
      <c r="T43" s="59">
        <f t="shared" si="34"/>
        <v>72.011647893875363</v>
      </c>
      <c r="U43" s="15">
        <f>IF(ISNA(VLOOKUP(A43,'Données projet'!$A$35:$I$55,3,0)),0,VLOOKUP(A43,'Données projet'!$A$35:$I$55,3,0))</f>
        <v>4</v>
      </c>
      <c r="V43" s="15">
        <f>IF(ISNA(VLOOKUP(A43,'Données projet'!$A$35:$I$55,4,0)),0,VLOOKUP(A43,'Données projet'!$A$35:$I$55,4,0))</f>
        <v>14</v>
      </c>
      <c r="W43" s="16">
        <f>IF(ISNA(VLOOKUP(A43,'Données projet'!$A$35:$I$55,5,0)),0%,VLOOKUP(A43,'Données projet'!$A$35:$I$55,5,0)*VLOOKUP('Données projet'!$B$9,Paramètres!$A$1:$I$89,7,0))</f>
        <v>8.6000000000000007E-2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1.2042764376793016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1.2042764376793016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93</v>
      </c>
      <c r="AG43" s="12">
        <f>VLOOKUP(A43,'Données projet'!$A$61:$I$81,9,0)</f>
        <v>5.4</v>
      </c>
      <c r="AH43" s="12">
        <f t="array" ref="AH43">INDEX(AG:AG,MIN(IF(ISNUMBER(AG43:AG239),ROW(AG43:AG239),"")))</f>
        <v>5.4</v>
      </c>
      <c r="AI43" s="13">
        <f>IF('Données projet'!$A$62&gt;35,AI42+AH43-AQ42,IF(A43&lt;'Données projet'!$A$62,$AF$205^A43,IF(A43='Données projet'!$A$62,'Données projet'!$B$62,AI42+AH43-AQ42)))</f>
        <v>93.000000000000014</v>
      </c>
      <c r="AJ43" s="13">
        <f>AI43*VLOOKUP('Données projet'!$B$10,Paramètres!$A$1:$I$89,3,0)*VLOOKUP('Données projet'!$B$10,Paramètres!$A$1:$I$89,5,0)</f>
        <v>100.10520000000001</v>
      </c>
      <c r="AK43" s="13">
        <f t="shared" si="35"/>
        <v>26.987058463795307</v>
      </c>
      <c r="AL43" s="20">
        <f t="shared" si="4"/>
        <v>221.35235015777684</v>
      </c>
      <c r="AM43" s="59">
        <f t="shared" si="5"/>
        <v>514.68568349111013</v>
      </c>
      <c r="AN43" s="59">
        <f ca="1">AVERAGE(OFFSET($AM$3,0,0,'Données projet'!$E$10+1,1))-AVERAGE(OFFSET($H$3,0,0,'Données projet'!$E$10+1,1))</f>
        <v>150.9416300233616</v>
      </c>
      <c r="AO43" s="59">
        <f t="shared" si="36"/>
        <v>92.286636088269972</v>
      </c>
      <c r="AP43" s="15">
        <f>IF(ISNA(VLOOKUP(A43,'Données projet'!$A$61:$I$81,3,0)),0,VLOOKUP(A43,'Données projet'!$A$61:$I$81,3,0))</f>
        <v>4</v>
      </c>
      <c r="AQ43" s="15">
        <f>IF(ISNA(VLOOKUP(A43,'Données projet'!$A$61:$I$81,4,0)),0,VLOOKUP(A43,'Données projet'!$A$61:$I$81,4,0))</f>
        <v>14</v>
      </c>
      <c r="AR43" s="16">
        <f>IF(ISNA(VLOOKUP(A43,'Données projet'!$A$61:$I$81,5,0)),0%,VLOOKUP(A43,'Données projet'!$A$61:$I$81,5,0)*VLOOKUP('Données projet'!$B$10,Paramètres!$A$1:$I$89,7,0))</f>
        <v>8.6000000000000007E-2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1.4326736931012383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1.4326736931012383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93</v>
      </c>
      <c r="BB43" s="12">
        <f>VLOOKUP(A43,'Données projet'!$A$87:$I$107,9,0)</f>
        <v>5.4</v>
      </c>
      <c r="BC43" s="12">
        <f t="array" ref="BC43">INDEX(BB:BB,MIN(IF(ISNUMBER(BB43:BB239),ROW(BB43:BB239),"")))</f>
        <v>5.4</v>
      </c>
      <c r="BD43" s="12">
        <f>IF('Données projet'!$A$88&gt;35,BD42+BC43-BL42,IF(A43&lt;'Données projet'!$A$88,$BA$205^A43,IF(A43='Données projet'!$A$88,'Données projet'!$B$88,BD42+BC43-BL42)))</f>
        <v>93.000000000000014</v>
      </c>
      <c r="BE43" s="13">
        <f>BD43*VLOOKUP('Données projet'!$B$11,Paramètres!$A$1:$I$89,3,0)*VLOOKUP('Données projet'!$B$11,Paramètres!$A$1:$I$89,5,0)</f>
        <v>89.949600000000018</v>
      </c>
      <c r="BF43" s="13">
        <f t="shared" si="37"/>
        <v>24.553069331291834</v>
      </c>
      <c r="BG43" s="20">
        <f t="shared" si="7"/>
        <v>199.42548241866663</v>
      </c>
      <c r="BH43" s="59">
        <f t="shared" si="8"/>
        <v>492.75881575199992</v>
      </c>
      <c r="BI43" s="59">
        <f ca="1">AVERAGE(OFFSET($BH$3,0,0,'Données projet'!$E$11+1,1))-AVERAGE(OFFSET($H$3,0,0,'Données projet'!$E$11+1,1))</f>
        <v>131.02416800340484</v>
      </c>
      <c r="BJ43" s="59">
        <f t="shared" si="38"/>
        <v>79.394119001888555</v>
      </c>
      <c r="BK43" s="15">
        <f>IF(ISNA(VLOOKUP(A43,'Données projet'!$A$87:$I$107,3,0)),0,VLOOKUP(A43,'Données projet'!$A$87:$I$107,3,0))</f>
        <v>4</v>
      </c>
      <c r="BL43" s="15">
        <f>IF(ISNA(VLOOKUP(A43,'Données projet'!$A$87:$I$107,4,0)),0,VLOOKUP(A43,'Données projet'!$A$87:$I$107,4,0))</f>
        <v>14</v>
      </c>
      <c r="BM43" s="16">
        <f>IF(ISNA(VLOOKUP(A43,'Données projet'!$A$87:$I$107,5,0)),0%,VLOOKUP(A43,'Données projet'!$A$87:$I$107,5,0)*VLOOKUP('Données projet'!$B$11,Paramètres!$A$1:$I$89,7,0))</f>
        <v>8.6000000000000007E-2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1.2873299851054603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1.2873299851054603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93</v>
      </c>
      <c r="BW43" s="12">
        <f>VLOOKUP(A43,'Données projet'!$A$113:$I$133,9,0)</f>
        <v>5.4</v>
      </c>
      <c r="BX43" s="12">
        <f t="array" ref="BX43">INDEX(BW:BW,MIN(IF(ISNUMBER(BW43:BW239),ROW(BW43:BW239),"")))</f>
        <v>5.4</v>
      </c>
      <c r="BY43" s="12">
        <f>IF('Données projet'!$A$114&gt;35,BY42+BX43-CG42,IF(A43&lt;'Données projet'!$A$114,$BV$205^A43,IF(A43='Données projet'!$A$114,'Données projet'!$B$114,BY42+BX43-CG42)))</f>
        <v>93.000000000000014</v>
      </c>
      <c r="BZ43" s="13">
        <f>BY43*VLOOKUP('Données projet'!$B$12,Paramètres!$A$1:$I$89,3,0)*VLOOKUP('Données projet'!$B$12,Paramètres!$A$1:$I$89,5,0)</f>
        <v>84.146400000000014</v>
      </c>
      <c r="CA43" s="13">
        <f t="shared" si="39"/>
        <v>23.14799971956144</v>
      </c>
      <c r="CB43" s="20">
        <f t="shared" si="10"/>
        <v>186.87107951156952</v>
      </c>
      <c r="CC43" s="59">
        <f t="shared" si="11"/>
        <v>480.20441284490283</v>
      </c>
      <c r="CD43" s="59">
        <f ca="1">AVERAGE(OFFSET($CC$3,0,0,'Données projet'!$E$12+1,1))-AVERAGE(OFFSET($H$3,0,0,'Données projet'!$E$12+1,1))</f>
        <v>119.62076457560073</v>
      </c>
      <c r="CE43" s="59">
        <f t="shared" si="40"/>
        <v>72.011647893875363</v>
      </c>
      <c r="CF43" s="15">
        <f>IF(ISNA(VLOOKUP(A43,'Données projet'!$A$113:$I$133,3,0)),0,VLOOKUP(A43,'Données projet'!$A$113:$I$133,3,0))</f>
        <v>4</v>
      </c>
      <c r="CG43" s="15">
        <f>IF(ISNA(VLOOKUP(A43,'Données projet'!$A$113:$I$133,4,0)),0,VLOOKUP(A43,'Données projet'!$A$113:$I$133,4,0))</f>
        <v>14</v>
      </c>
      <c r="CH43" s="16">
        <f>IF(ISNA(VLOOKUP(A43,'Données projet'!$A$113:$I$133,5,0)),0%,VLOOKUP(A43,'Données projet'!$A$113:$I$133,5,0)*VLOOKUP('Données projet'!$B$12,Paramètres!$A$1:$I$89,7,0))</f>
        <v>8.6000000000000007E-2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1.2042764376793016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1.2042764376793016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93</v>
      </c>
      <c r="CR43" s="12">
        <f>VLOOKUP(A43,'Données projet'!$A$139:$I$159,9,0)</f>
        <v>5.4</v>
      </c>
      <c r="CS43" s="12">
        <f t="array" ref="CS43">INDEX(CR:CR,MIN(IF(ISNUMBER(CR43:CR239),ROW(CR43:CR239),"")))</f>
        <v>5.4</v>
      </c>
      <c r="CT43" s="12">
        <f>IF('Données projet'!$A$140&gt;35,CT42+CS43-DB42,IF(A43&lt;'Données projet'!$A$140,$CQ$205^A43,IF(A43='Données projet'!$A$140,'Données projet'!$B$140,CT42+CS43-DB42)))</f>
        <v>93.000000000000014</v>
      </c>
      <c r="CU43" s="17">
        <f>CT43*VLOOKUP('Données projet'!$B$13,Paramètres!$A$1:$I$89,3,0)*VLOOKUP('Données projet'!$B$13,Paramètres!$A$1:$I$89,5,0)</f>
        <v>100.10520000000001</v>
      </c>
      <c r="CV43" s="13">
        <f t="shared" si="41"/>
        <v>26.987058463795307</v>
      </c>
      <c r="CW43" s="20">
        <f t="shared" si="13"/>
        <v>221.35235015777684</v>
      </c>
      <c r="CX43" s="59">
        <f t="shared" si="14"/>
        <v>514.68568349111013</v>
      </c>
      <c r="CY43" s="59">
        <f ca="1">AVERAGE(OFFSET($CX$3,0,0,'Données projet'!$E$13+1,1))-AVERAGE(OFFSET($H$3,0,0,'Données projet'!$E$13+1,1))</f>
        <v>150.9416300233616</v>
      </c>
      <c r="CZ43" s="59">
        <f t="shared" si="42"/>
        <v>92.286636088269972</v>
      </c>
      <c r="DA43" s="15">
        <f>IF(ISNA(VLOOKUP(A43,'Données projet'!$A$139:$I$159,3,0)),0,VLOOKUP(A43,'Données projet'!$A$139:$I$159,3,0))</f>
        <v>4</v>
      </c>
      <c r="DB43" s="15">
        <f>IF(ISNA(VLOOKUP(A43,'Données projet'!$A$139:$I$159,4,0)),0,VLOOKUP(A43,'Données projet'!$A$139:$I$159,4,0))</f>
        <v>14</v>
      </c>
      <c r="DC43" s="16">
        <f>IF(ISNA(VLOOKUP(A43,'Données projet'!$A$139:$I$159,5,0)),0%,VLOOKUP(A43,'Données projet'!$A$139:$I$159,5,0)*VLOOKUP('Données projet'!$B$13,Paramètres!$A$1:$I$89,7,0))</f>
        <v>8.6000000000000007E-2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1.4326736931012383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1.4326736931012383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294</v>
      </c>
      <c r="DM43" s="12">
        <f>VLOOKUP(A43,'Données projet'!$A$165:$I$185,9,0)</f>
        <v>16.2</v>
      </c>
      <c r="DN43" s="12">
        <f t="array" ref="DN43">INDEX(DM:DM,MIN(IF(ISNUMBER(DM43:DM239),ROW(DM43:DM239),"")))</f>
        <v>16.2</v>
      </c>
      <c r="DO43" s="12">
        <f>IF('Données projet'!$A$166&gt;35,DO42+DN43-DW42,IF(A43&lt;'Données projet'!$A$166,$DL$205^A43,IF(A43='Données projet'!$A$166,'Données projet'!$B$166,DO42+DN43-DW42)))</f>
        <v>293.99999999999994</v>
      </c>
      <c r="DP43" s="17">
        <f>DO43*VLOOKUP('Données projet'!$B$14,Paramètres!$A$1:$I$89,3,0)*VLOOKUP('Données projet'!$B$14,Paramètres!$A$1:$I$89,5,0)</f>
        <v>175.81199999999998</v>
      </c>
      <c r="DQ43" s="13">
        <f t="shared" si="43"/>
        <v>44.389160560041141</v>
      </c>
      <c r="DR43" s="20">
        <f t="shared" si="16"/>
        <v>383.51702130873826</v>
      </c>
      <c r="DS43" s="59">
        <f t="shared" si="17"/>
        <v>676.85035464207158</v>
      </c>
      <c r="DT43" s="59">
        <f ca="1">AVERAGE(OFFSET($DS$3,0,0,'Données projet'!$E$14+1,1))-AVERAGE(OFFSET($H$3,0,0,'Données projet'!$E$14+1,1))</f>
        <v>249.22792522076639</v>
      </c>
      <c r="DU43" s="59">
        <f t="shared" si="44"/>
        <v>244.53725944480669</v>
      </c>
      <c r="DV43" s="15">
        <f>IF(ISNA(VLOOKUP(A43,'Données projet'!$A$165:$I$185,3,0)),0,VLOOKUP(A43,'Données projet'!$A$165:$I$185,3,0))</f>
        <v>6</v>
      </c>
      <c r="DW43" s="15">
        <f>IF(ISNA(VLOOKUP(A43,'Données projet'!$A$165:$I$185,4,0)),0,VLOOKUP(A43,'Données projet'!$A$165:$I$185,4,0))</f>
        <v>42</v>
      </c>
      <c r="DX43" s="16">
        <f>IF(ISNA(VLOOKUP(A43,'Données projet'!$A$165:$I$185,5,0)),0%,VLOOKUP(A43,'Données projet'!$A$165:$I$185,5,0)*VLOOKUP('Données projet'!$B$14,Paramètres!$A$1:$I$89,7,0))</f>
        <v>0.22500000000000001</v>
      </c>
      <c r="DY43" s="16">
        <f>IF(ISNA(VLOOKUP(A43,'Données projet'!$A$165:$I$185,6,0)),0%,VLOOKUP(A43,'Données projet'!$A$165:$I$185,6,0)*VLOOKUP('Données projet'!$B$14,Paramètres!$A$1:$I$89,7,0))</f>
        <v>0.12600000000000003</v>
      </c>
      <c r="DZ43" s="16">
        <f>IF(ISNA(VLOOKUP(A43,'Données projet'!$A$165:$I$185,7,0)),0%,VLOOKUP(A43,'Données projet'!$A$165:$I$185,7,0))</f>
        <v>0.22</v>
      </c>
      <c r="EA43" s="21">
        <f>EXP(-LN(2)/35)*EA42+(1-EXP(-LN(2)/35))/(LN(2)/35)*DW43*DX43*VLOOKUP('Données projet'!$B$14,Paramètres!$A$1:$I$89,3,0)*0.475*44/12</f>
        <v>22.295136883789823</v>
      </c>
      <c r="EB43" s="21">
        <f>EXP(-LN(2)/25)*EB42+(1-EXP(-LN(2)/25))/(LN(2)/25)*Calculateur!DW43*Calculateur!DY43*VLOOKUP('Données projet'!$B$14,Paramètres!$A$1:$I$89,3,0)*0.475*44/12</f>
        <v>18.406219485406641</v>
      </c>
      <c r="EC43" s="21">
        <f>EXP(-LN(2)/2)*EC42+(1-EXP(-LN(2)/2))/(LN(2)/2)*DW43*DZ43*VLOOKUP('Données projet'!$B$14,Paramètres!$A$1:$I$89,3,0)*0.475*44/12</f>
        <v>7.8482724674478401</v>
      </c>
      <c r="ED43" s="22">
        <f t="shared" si="18"/>
        <v>48.549628836644303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540</v>
      </c>
      <c r="EH43" s="12">
        <f>VLOOKUP(A43,'Données projet'!$A$191:$I$211,9,0)</f>
        <v>30.4</v>
      </c>
      <c r="EI43" s="12">
        <f t="array" ref="EI43">INDEX(EH:EH,MIN(IF(ISNUMBER(EH43:EH239),ROW(EH43:EH239),"")))</f>
        <v>30.4</v>
      </c>
      <c r="EJ43" s="12">
        <f>IF('Données projet'!$A$192&gt;35,EJ42+EI43-ER42,IF(A43&lt;'Données projet'!$A$192,$EG$205^A43,IF(A43='Données projet'!$A$192,'Données projet'!$B$192,EJ42+EI43-ER42)))</f>
        <v>540.00000000000011</v>
      </c>
      <c r="EK43" s="17">
        <f>EJ43*VLOOKUP('Données projet'!$B$15,Paramètres!$A$1:$I$89,3,0)*VLOOKUP('Données projet'!$B$15,Paramètres!$A$1:$I$89,5,0)</f>
        <v>301.86000000000007</v>
      </c>
      <c r="EL43" s="13">
        <f t="shared" si="45"/>
        <v>71.566250541227049</v>
      </c>
      <c r="EM43" s="20">
        <f t="shared" si="19"/>
        <v>650.3840530259705</v>
      </c>
      <c r="EN43" s="59">
        <f t="shared" si="20"/>
        <v>943.71738635930387</v>
      </c>
      <c r="EO43" s="59">
        <f ca="1">AVERAGE(OFFSET($EN$3,0,0,'Données projet'!$E$15+1,1))-AVERAGE(OFFSET($H$3,0,0,'Données projet'!$E$15+1,1))</f>
        <v>313.36787814924116</v>
      </c>
      <c r="EP43" s="59">
        <f t="shared" si="46"/>
        <v>438.72984487610216</v>
      </c>
      <c r="EQ43" s="15">
        <f>IF(ISNA(VLOOKUP(A43,'Données projet'!$A$191:$I$211,3,0)),0,VLOOKUP(A43,'Données projet'!$A$191:$I$211,3,0))</f>
        <v>7</v>
      </c>
      <c r="ER43" s="15">
        <f>IF(ISNA(VLOOKUP(A43,'Données projet'!$A$191:$I$211,4,0)),0,VLOOKUP(A43,'Données projet'!$A$191:$I$211,4,0))</f>
        <v>84</v>
      </c>
      <c r="ES43" s="16">
        <f>IF(ISNA(VLOOKUP(A43,'Données projet'!$A$191:$I$211,5,0)),0%,VLOOKUP(A43,'Données projet'!$A$191:$I$211,5,0)*VLOOKUP('Données projet'!$B$15,Paramètres!$A$1:$I$89,7,0))</f>
        <v>0.33</v>
      </c>
      <c r="ET43" s="16">
        <f>IF(ISNA(VLOOKUP(A43,'Données projet'!$A$191:$I$211,6,0)),0%,VLOOKUP(A43,'Données projet'!$A$191:$I$211,6,0)*VLOOKUP('Données projet'!$B$15,Paramètres!$A$1:$I$89,7,0))</f>
        <v>0.12100000000000001</v>
      </c>
      <c r="EU43" s="16">
        <f>IF(ISNA(VLOOKUP(A43,'Données projet'!$A$191:$I$211,7,0)),0%,VLOOKUP(A43,'Données projet'!$A$191:$I$211,7,0))</f>
        <v>0.18</v>
      </c>
      <c r="EV43" s="21">
        <f>EXP(-LN(2)/35)*EV42+(1-EXP(-LN(2)/35))/(LN(2)/35)*ER43*ES43*VLOOKUP('Données projet'!$B$15,Paramètres!$A$1:$I$89,3,0)*0.475*44/12</f>
        <v>81.141275561470266</v>
      </c>
      <c r="EW43" s="21">
        <f>EXP(-LN(2)/25)*EW42+(1-EXP(-LN(2)/25))/(LN(2)/25)*Calculateur!ER43*Calculateur!ET43*VLOOKUP('Données projet'!$B$15,Paramètres!$A$1:$I$89,3,0)*0.475*44/12</f>
        <v>38.39573674507907</v>
      </c>
      <c r="EX43" s="21">
        <f>EXP(-LN(2)/2)*EX42+(1-EXP(-LN(2)/2))/(LN(2)/2)*ER43*EU43*VLOOKUP('Données projet'!$B$15,Paramètres!$A$1:$I$89,3,0)*0.475*44/12</f>
        <v>11.706748245300471</v>
      </c>
      <c r="EY43" s="22">
        <f t="shared" si="21"/>
        <v>131.24376055184982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5.6</v>
      </c>
      <c r="N44" s="13">
        <f>IF('Données projet'!$A$36&gt;35,N43+M44-V43,IF(A44&lt;'Données projet'!$A$36,$K$205^A44,IF(A44='Données projet'!$A$36,'Données projet'!$B$36,N43+M44-V43)))</f>
        <v>84.600000000000009</v>
      </c>
      <c r="O44" s="13">
        <f>N44*VLOOKUP('Données projet'!$B$9,Paramètres!$A$1:$I$89,3,0)*VLOOKUP('Données projet'!$B$9,Paramètres!$A$1:$I$89,5,0)</f>
        <v>76.546080000000003</v>
      </c>
      <c r="P44" s="13">
        <f t="shared" si="33"/>
        <v>21.290525837973497</v>
      </c>
      <c r="Q44" s="20">
        <f t="shared" si="53"/>
        <v>170.39875516780384</v>
      </c>
      <c r="R44" s="59">
        <f t="shared" si="0"/>
        <v>463.73208850113713</v>
      </c>
      <c r="S44" s="59">
        <f ca="1">AVERAGE(OFFSET($R$3,0,0,'Données projet'!$E$9+1,1))-AVERAGE(OFFSET($H$3,0,0,'Données projet'!$E$9+1,1))</f>
        <v>173.91998182168385</v>
      </c>
      <c r="T44" s="59">
        <f t="shared" si="34"/>
        <v>72.011647893875363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1.180661311272508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1.180661311272508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5.6</v>
      </c>
      <c r="AI44" s="13">
        <f>IF('Données projet'!$A$62&gt;35,AI43+AH44-AQ43,IF(A44&lt;'Données projet'!$A$62,$AF$205^A44,IF(A44='Données projet'!$A$62,'Données projet'!$B$62,AI43+AH44-AQ43)))</f>
        <v>84.600000000000009</v>
      </c>
      <c r="AJ44" s="13">
        <f>AI44*VLOOKUP('Données projet'!$B$10,Paramètres!$A$1:$I$89,3,0)*VLOOKUP('Données projet'!$B$10,Paramètres!$A$1:$I$89,5,0)</f>
        <v>91.06344</v>
      </c>
      <c r="AK44" s="13">
        <f t="shared" si="35"/>
        <v>24.821525508693981</v>
      </c>
      <c r="AL44" s="20">
        <f t="shared" si="4"/>
        <v>201.83298159430865</v>
      </c>
      <c r="AM44" s="59">
        <f t="shared" si="5"/>
        <v>495.16631492764196</v>
      </c>
      <c r="AN44" s="59">
        <f ca="1">AVERAGE(OFFSET($AM$3,0,0,'Données projet'!$E$10+1,1))-AVERAGE(OFFSET($H$3,0,0,'Données projet'!$E$10+1,1))</f>
        <v>150.9416300233616</v>
      </c>
      <c r="AO44" s="59">
        <f t="shared" si="36"/>
        <v>92.286636088269972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1.4045798358241908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1.4045798358241908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5.6</v>
      </c>
      <c r="BD44" s="12">
        <f>IF('Données projet'!$A$88&gt;35,BD43+BC44-BL43,IF(A44&lt;'Données projet'!$A$88,$BA$205^A44,IF(A44='Données projet'!$A$88,'Données projet'!$B$88,BD43+BC44-BL43)))</f>
        <v>84.600000000000009</v>
      </c>
      <c r="BE44" s="13">
        <f>BD44*VLOOKUP('Données projet'!$B$11,Paramètres!$A$1:$I$89,3,0)*VLOOKUP('Données projet'!$B$11,Paramètres!$A$1:$I$89,5,0)</f>
        <v>81.825120000000013</v>
      </c>
      <c r="BF44" s="13">
        <f t="shared" si="37"/>
        <v>22.58284790619167</v>
      </c>
      <c r="BG44" s="20">
        <f t="shared" si="7"/>
        <v>181.84387743661719</v>
      </c>
      <c r="BH44" s="59">
        <f t="shared" si="8"/>
        <v>475.17721076995053</v>
      </c>
      <c r="BI44" s="59">
        <f ca="1">AVERAGE(OFFSET($BH$3,0,0,'Données projet'!$E$11+1,1))-AVERAGE(OFFSET($H$3,0,0,'Données projet'!$E$11+1,1))</f>
        <v>131.02416800340484</v>
      </c>
      <c r="BJ44" s="59">
        <f t="shared" si="38"/>
        <v>79.394119001888555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1.2620862292913018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1.2620862292913018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5.6</v>
      </c>
      <c r="BY44" s="12">
        <f>IF('Données projet'!$A$114&gt;35,BY43+BX44-CG43,IF(A44&lt;'Données projet'!$A$114,$BV$205^A44,IF(A44='Données projet'!$A$114,'Données projet'!$B$114,BY43+BX44-CG43)))</f>
        <v>84.600000000000009</v>
      </c>
      <c r="BZ44" s="13">
        <f>BY44*VLOOKUP('Données projet'!$B$12,Paramètres!$A$1:$I$89,3,0)*VLOOKUP('Données projet'!$B$12,Paramètres!$A$1:$I$89,5,0)</f>
        <v>76.546080000000003</v>
      </c>
      <c r="CA44" s="13">
        <f t="shared" si="39"/>
        <v>21.290525837973497</v>
      </c>
      <c r="CB44" s="20">
        <f t="shared" si="10"/>
        <v>170.39875516780384</v>
      </c>
      <c r="CC44" s="59">
        <f t="shared" si="11"/>
        <v>463.73208850113713</v>
      </c>
      <c r="CD44" s="59">
        <f ca="1">AVERAGE(OFFSET($CC$3,0,0,'Données projet'!$E$12+1,1))-AVERAGE(OFFSET($H$3,0,0,'Données projet'!$E$12+1,1))</f>
        <v>119.62076457560073</v>
      </c>
      <c r="CE44" s="59">
        <f t="shared" si="40"/>
        <v>72.011647893875363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1.180661311272508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1.180661311272508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5.6</v>
      </c>
      <c r="CT44" s="12">
        <f>IF('Données projet'!$A$140&gt;35,CT43+CS44-DB43,IF(A44&lt;'Données projet'!$A$140,$CQ$205^A44,IF(A44='Données projet'!$A$140,'Données projet'!$B$140,CT43+CS44-DB43)))</f>
        <v>84.600000000000009</v>
      </c>
      <c r="CU44" s="17">
        <f>CT44*VLOOKUP('Données projet'!$B$13,Paramètres!$A$1:$I$89,3,0)*VLOOKUP('Données projet'!$B$13,Paramètres!$A$1:$I$89,5,0)</f>
        <v>91.06344</v>
      </c>
      <c r="CV44" s="13">
        <f t="shared" si="41"/>
        <v>24.821525508693981</v>
      </c>
      <c r="CW44" s="20">
        <f t="shared" si="13"/>
        <v>201.83298159430865</v>
      </c>
      <c r="CX44" s="59">
        <f t="shared" si="14"/>
        <v>495.16631492764196</v>
      </c>
      <c r="CY44" s="59">
        <f ca="1">AVERAGE(OFFSET($CX$3,0,0,'Données projet'!$E$13+1,1))-AVERAGE(OFFSET($H$3,0,0,'Données projet'!$E$13+1,1))</f>
        <v>150.9416300233616</v>
      </c>
      <c r="CZ44" s="59">
        <f t="shared" si="42"/>
        <v>92.286636088269972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1.4045798358241908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1.4045798358241908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15.4</v>
      </c>
      <c r="DO44" s="12">
        <f>IF('Données projet'!$A$166&gt;35,DO43+DN44-DW43,IF(A44&lt;'Données projet'!$A$166,$DL$205^A44,IF(A44='Données projet'!$A$166,'Données projet'!$B$166,DO43+DN44-DW43)))</f>
        <v>267.39999999999992</v>
      </c>
      <c r="DP44" s="17">
        <f>DO44*VLOOKUP('Données projet'!$B$14,Paramètres!$A$1:$I$89,3,0)*VLOOKUP('Données projet'!$B$14,Paramètres!$A$1:$I$89,5,0)</f>
        <v>159.90519999999995</v>
      </c>
      <c r="DQ44" s="13">
        <f t="shared" si="43"/>
        <v>40.821132264574622</v>
      </c>
      <c r="DR44" s="20">
        <f t="shared" si="16"/>
        <v>349.59836202746737</v>
      </c>
      <c r="DS44" s="59">
        <f t="shared" si="17"/>
        <v>642.93169536080063</v>
      </c>
      <c r="DT44" s="59">
        <f ca="1">AVERAGE(OFFSET($DS$3,0,0,'Données projet'!$E$14+1,1))-AVERAGE(OFFSET($H$3,0,0,'Données projet'!$E$14+1,1))</f>
        <v>249.22792522076639</v>
      </c>
      <c r="DU44" s="59">
        <f t="shared" si="44"/>
        <v>244.53725944480669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21.857942848189445</v>
      </c>
      <c r="EB44" s="21">
        <f>EXP(-LN(2)/25)*EB43+(1-EXP(-LN(2)/25))/(LN(2)/25)*Calculateur!DW44*Calculateur!DY44*VLOOKUP('Données projet'!$B$14,Paramètres!$A$1:$I$89,3,0)*0.475*44/12</f>
        <v>17.902900445637183</v>
      </c>
      <c r="EC44" s="21">
        <f>EXP(-LN(2)/2)*EC43+(1-EXP(-LN(2)/2))/(LN(2)/2)*DW44*DZ44*VLOOKUP('Données projet'!$B$14,Paramètres!$A$1:$I$89,3,0)*0.475*44/12</f>
        <v>5.5495666823320455</v>
      </c>
      <c r="ED44" s="22">
        <f t="shared" si="18"/>
        <v>45.310409976158667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27.6</v>
      </c>
      <c r="EJ44" s="12">
        <f>IF('Données projet'!$A$192&gt;35,EJ43+EI44-ER43,IF(A44&lt;'Données projet'!$A$192,$EG$205^A44,IF(A44='Données projet'!$A$192,'Données projet'!$B$192,EJ43+EI44-ER43)))</f>
        <v>483.60000000000014</v>
      </c>
      <c r="EK44" s="17">
        <f>EJ44*VLOOKUP('Données projet'!$B$15,Paramètres!$A$1:$I$89,3,0)*VLOOKUP('Données projet'!$B$15,Paramètres!$A$1:$I$89,5,0)</f>
        <v>270.33240000000012</v>
      </c>
      <c r="EL44" s="13">
        <f t="shared" si="45"/>
        <v>64.919807904864967</v>
      </c>
      <c r="EM44" s="20">
        <f t="shared" si="19"/>
        <v>583.89759543430671</v>
      </c>
      <c r="EN44" s="59">
        <f t="shared" si="20"/>
        <v>877.23092876764008</v>
      </c>
      <c r="EO44" s="59">
        <f ca="1">AVERAGE(OFFSET($EN$3,0,0,'Données projet'!$E$15+1,1))-AVERAGE(OFFSET($H$3,0,0,'Données projet'!$E$15+1,1))</f>
        <v>313.36787814924116</v>
      </c>
      <c r="EP44" s="59">
        <f t="shared" si="46"/>
        <v>438.72984487610216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79.550144639001061</v>
      </c>
      <c r="EW44" s="21">
        <f>EXP(-LN(2)/25)*EW43+(1-EXP(-LN(2)/25))/(LN(2)/25)*Calculateur!ER44*Calculateur!ET44*VLOOKUP('Données projet'!$B$15,Paramètres!$A$1:$I$89,3,0)*0.475*44/12</f>
        <v>37.345803304640839</v>
      </c>
      <c r="EX44" s="21">
        <f>EXP(-LN(2)/2)*EX43+(1-EXP(-LN(2)/2))/(LN(2)/2)*ER44*EU44*VLOOKUP('Données projet'!$B$15,Paramètres!$A$1:$I$89,3,0)*0.475*44/12</f>
        <v>8.2779210698956796</v>
      </c>
      <c r="EY44" s="22">
        <f t="shared" si="21"/>
        <v>125.17386901353758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5.6</v>
      </c>
      <c r="N45" s="13">
        <f>IF('Données projet'!$A$36&gt;35,N44+M45-V44,IF(A45&lt;'Données projet'!$A$36,$K$205^A45,IF(A45='Données projet'!$A$36,'Données projet'!$B$36,N44+M45-V44)))</f>
        <v>90.2</v>
      </c>
      <c r="O45" s="13">
        <f>N45*VLOOKUP('Données projet'!$B$9,Paramètres!$A$1:$I$89,3,0)*VLOOKUP('Données projet'!$B$9,Paramètres!$A$1:$I$89,5,0)</f>
        <v>81.612960000000001</v>
      </c>
      <c r="P45" s="13">
        <f t="shared" si="33"/>
        <v>22.531101896247538</v>
      </c>
      <c r="Q45" s="20">
        <f t="shared" si="53"/>
        <v>181.38424113596443</v>
      </c>
      <c r="R45" s="59">
        <f t="shared" si="0"/>
        <v>474.71757446929774</v>
      </c>
      <c r="S45" s="59">
        <f ca="1">AVERAGE(OFFSET($R$3,0,0,'Données projet'!$E$9+1,1))-AVERAGE(OFFSET($H$3,0,0,'Données projet'!$E$9+1,1))</f>
        <v>173.91998182168385</v>
      </c>
      <c r="T45" s="59">
        <f t="shared" si="34"/>
        <v>72.011647893875363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1.1575092630907469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1.1575092630907469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5.6</v>
      </c>
      <c r="AI45" s="13">
        <f>IF('Données projet'!$A$62&gt;35,AI44+AH45-AQ44,IF(A45&lt;'Données projet'!$A$62,$AF$205^A45,IF(A45='Données projet'!$A$62,'Données projet'!$B$62,AI44+AH45-AQ44)))</f>
        <v>90.2</v>
      </c>
      <c r="AJ45" s="13">
        <f>AI45*VLOOKUP('Données projet'!$B$10,Paramètres!$A$1:$I$89,3,0)*VLOOKUP('Données projet'!$B$10,Paramètres!$A$1:$I$89,5,0)</f>
        <v>97.091279999999998</v>
      </c>
      <c r="AK45" s="13">
        <f t="shared" si="35"/>
        <v>26.267849122787243</v>
      </c>
      <c r="AL45" s="20">
        <f t="shared" si="4"/>
        <v>214.85048322218776</v>
      </c>
      <c r="AM45" s="59">
        <f t="shared" si="5"/>
        <v>508.18381655552105</v>
      </c>
      <c r="AN45" s="59">
        <f ca="1">AVERAGE(OFFSET($AM$3,0,0,'Données projet'!$E$10+1,1))-AVERAGE(OFFSET($H$3,0,0,'Données projet'!$E$10+1,1))</f>
        <v>150.9416300233616</v>
      </c>
      <c r="AO45" s="59">
        <f t="shared" si="36"/>
        <v>92.286636088269972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1.3770368819527852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1.3770368819527852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5.6</v>
      </c>
      <c r="BD45" s="12">
        <f>IF('Données projet'!$A$88&gt;35,BD44+BC45-BL44,IF(A45&lt;'Données projet'!$A$88,$BA$205^A45,IF(A45='Données projet'!$A$88,'Données projet'!$B$88,BD44+BC45-BL44)))</f>
        <v>90.2</v>
      </c>
      <c r="BE45" s="13">
        <f>BD45*VLOOKUP('Données projet'!$B$11,Paramètres!$A$1:$I$89,3,0)*VLOOKUP('Données projet'!$B$11,Paramètres!$A$1:$I$89,5,0)</f>
        <v>87.241439999999997</v>
      </c>
      <c r="BF45" s="13">
        <f t="shared" si="37"/>
        <v>23.898726182438701</v>
      </c>
      <c r="BG45" s="20">
        <f t="shared" si="7"/>
        <v>193.56912276774736</v>
      </c>
      <c r="BH45" s="59">
        <f t="shared" si="8"/>
        <v>486.9024561010807</v>
      </c>
      <c r="BI45" s="59">
        <f ca="1">AVERAGE(OFFSET($BH$3,0,0,'Données projet'!$E$11+1,1))-AVERAGE(OFFSET($H$3,0,0,'Données projet'!$E$11+1,1))</f>
        <v>131.02416800340484</v>
      </c>
      <c r="BJ45" s="59">
        <f t="shared" si="38"/>
        <v>79.394119001888555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1.237337488131488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1.237337488131488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5.6</v>
      </c>
      <c r="BY45" s="12">
        <f>IF('Données projet'!$A$114&gt;35,BY44+BX45-CG44,IF(A45&lt;'Données projet'!$A$114,$BV$205^A45,IF(A45='Données projet'!$A$114,'Données projet'!$B$114,BY44+BX45-CG44)))</f>
        <v>90.2</v>
      </c>
      <c r="BZ45" s="13">
        <f>BY45*VLOOKUP('Données projet'!$B$12,Paramètres!$A$1:$I$89,3,0)*VLOOKUP('Données projet'!$B$12,Paramètres!$A$1:$I$89,5,0)</f>
        <v>81.612960000000001</v>
      </c>
      <c r="CA45" s="13">
        <f t="shared" si="39"/>
        <v>22.531101896247538</v>
      </c>
      <c r="CB45" s="20">
        <f t="shared" si="10"/>
        <v>181.38424113596443</v>
      </c>
      <c r="CC45" s="59">
        <f t="shared" si="11"/>
        <v>474.71757446929774</v>
      </c>
      <c r="CD45" s="59">
        <f ca="1">AVERAGE(OFFSET($CC$3,0,0,'Données projet'!$E$12+1,1))-AVERAGE(OFFSET($H$3,0,0,'Données projet'!$E$12+1,1))</f>
        <v>119.62076457560073</v>
      </c>
      <c r="CE45" s="59">
        <f t="shared" si="40"/>
        <v>72.011647893875363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1.1575092630907469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1.1575092630907469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5.6</v>
      </c>
      <c r="CT45" s="12">
        <f>IF('Données projet'!$A$140&gt;35,CT44+CS45-DB44,IF(A45&lt;'Données projet'!$A$140,$CQ$205^A45,IF(A45='Données projet'!$A$140,'Données projet'!$B$140,CT44+CS45-DB44)))</f>
        <v>90.2</v>
      </c>
      <c r="CU45" s="17">
        <f>CT45*VLOOKUP('Données projet'!$B$13,Paramètres!$A$1:$I$89,3,0)*VLOOKUP('Données projet'!$B$13,Paramètres!$A$1:$I$89,5,0)</f>
        <v>97.091279999999998</v>
      </c>
      <c r="CV45" s="13">
        <f t="shared" si="41"/>
        <v>26.267849122787243</v>
      </c>
      <c r="CW45" s="20">
        <f t="shared" si="13"/>
        <v>214.85048322218776</v>
      </c>
      <c r="CX45" s="59">
        <f t="shared" si="14"/>
        <v>508.18381655552105</v>
      </c>
      <c r="CY45" s="59">
        <f ca="1">AVERAGE(OFFSET($CX$3,0,0,'Données projet'!$E$13+1,1))-AVERAGE(OFFSET($H$3,0,0,'Données projet'!$E$13+1,1))</f>
        <v>150.9416300233616</v>
      </c>
      <c r="CZ45" s="59">
        <f t="shared" si="42"/>
        <v>92.286636088269972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1.3770368819527852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1.3770368819527852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15.4</v>
      </c>
      <c r="DO45" s="12">
        <f>IF('Données projet'!$A$166&gt;35,DO44+DN45-DW44,IF(A45&lt;'Données projet'!$A$166,$DL$205^A45,IF(A45='Données projet'!$A$166,'Données projet'!$B$166,DO44+DN45-DW44)))</f>
        <v>282.7999999999999</v>
      </c>
      <c r="DP45" s="17">
        <f>DO45*VLOOKUP('Données projet'!$B$14,Paramètres!$A$1:$I$89,3,0)*VLOOKUP('Données projet'!$B$14,Paramètres!$A$1:$I$89,5,0)</f>
        <v>169.11439999999996</v>
      </c>
      <c r="DQ45" s="13">
        <f t="shared" si="43"/>
        <v>42.891618392708978</v>
      </c>
      <c r="DR45" s="20">
        <f t="shared" si="16"/>
        <v>369.24381536730135</v>
      </c>
      <c r="DS45" s="59">
        <f t="shared" si="17"/>
        <v>662.57714870063467</v>
      </c>
      <c r="DT45" s="59">
        <f ca="1">AVERAGE(OFFSET($DS$3,0,0,'Données projet'!$E$14+1,1))-AVERAGE(OFFSET($H$3,0,0,'Données projet'!$E$14+1,1))</f>
        <v>249.22792522076639</v>
      </c>
      <c r="DU45" s="59">
        <f t="shared" si="44"/>
        <v>244.53725944480669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21.429321920965158</v>
      </c>
      <c r="EB45" s="21">
        <f>EXP(-LN(2)/25)*EB44+(1-EXP(-LN(2)/25))/(LN(2)/25)*Calculateur!DW45*Calculateur!DY45*VLOOKUP('Données projet'!$B$14,Paramètres!$A$1:$I$89,3,0)*0.475*44/12</f>
        <v>17.413344691478617</v>
      </c>
      <c r="EC45" s="21">
        <f>EXP(-LN(2)/2)*EC44+(1-EXP(-LN(2)/2))/(LN(2)/2)*DW45*DZ45*VLOOKUP('Données projet'!$B$14,Paramètres!$A$1:$I$89,3,0)*0.475*44/12</f>
        <v>3.9241362337239205</v>
      </c>
      <c r="ED45" s="22">
        <f t="shared" si="18"/>
        <v>42.7668028461677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27.6</v>
      </c>
      <c r="EJ45" s="12">
        <f>IF('Données projet'!$A$192&gt;35,EJ44+EI45-ER44,IF(A45&lt;'Données projet'!$A$192,$EG$205^A45,IF(A45='Données projet'!$A$192,'Données projet'!$B$192,EJ44+EI45-ER44)))</f>
        <v>511.20000000000016</v>
      </c>
      <c r="EK45" s="17">
        <f>EJ45*VLOOKUP('Données projet'!$B$15,Paramètres!$A$1:$I$89,3,0)*VLOOKUP('Données projet'!$B$15,Paramètres!$A$1:$I$89,5,0)</f>
        <v>285.76080000000007</v>
      </c>
      <c r="EL45" s="13">
        <f t="shared" si="45"/>
        <v>68.182984795389388</v>
      </c>
      <c r="EM45" s="20">
        <f t="shared" si="19"/>
        <v>616.45209185196984</v>
      </c>
      <c r="EN45" s="59">
        <f t="shared" si="20"/>
        <v>909.78542518530321</v>
      </c>
      <c r="EO45" s="59">
        <f ca="1">AVERAGE(OFFSET($EN$3,0,0,'Données projet'!$E$15+1,1))-AVERAGE(OFFSET($H$3,0,0,'Données projet'!$E$15+1,1))</f>
        <v>313.36787814924116</v>
      </c>
      <c r="EP45" s="59">
        <f t="shared" si="46"/>
        <v>438.72984487610216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77.990214823427451</v>
      </c>
      <c r="EW45" s="21">
        <f>EXP(-LN(2)/25)*EW44+(1-EXP(-LN(2)/25))/(LN(2)/25)*Calculateur!ER45*Calculateur!ET45*VLOOKUP('Données projet'!$B$15,Paramètres!$A$1:$I$89,3,0)*0.475*44/12</f>
        <v>36.324580349344991</v>
      </c>
      <c r="EX45" s="21">
        <f>EXP(-LN(2)/2)*EX44+(1-EXP(-LN(2)/2))/(LN(2)/2)*ER45*EU45*VLOOKUP('Données projet'!$B$15,Paramètres!$A$1:$I$89,3,0)*0.475*44/12</f>
        <v>5.8533741226502363</v>
      </c>
      <c r="EY45" s="22">
        <f t="shared" si="21"/>
        <v>120.16816929542269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5.6</v>
      </c>
      <c r="N46" s="13">
        <f>IF('Données projet'!$A$36&gt;35,N45+M46-V45,IF(A46&lt;'Données projet'!$A$36,$K$205^A46,IF(A46='Données projet'!$A$36,'Données projet'!$B$36,N45+M46-V45)))</f>
        <v>95.8</v>
      </c>
      <c r="O46" s="13">
        <f>N46*VLOOKUP('Données projet'!$B$9,Paramètres!$A$1:$I$89,3,0)*VLOOKUP('Données projet'!$B$9,Paramètres!$A$1:$I$89,5,0)</f>
        <v>86.679839999999999</v>
      </c>
      <c r="P46" s="13">
        <f t="shared" si="33"/>
        <v>23.762739053789723</v>
      </c>
      <c r="Q46" s="20">
        <f t="shared" si="53"/>
        <v>192.35415851868379</v>
      </c>
      <c r="R46" s="59">
        <f t="shared" si="0"/>
        <v>485.6874918520171</v>
      </c>
      <c r="S46" s="59">
        <f ca="1">AVERAGE(OFFSET($R$3,0,0,'Données projet'!$E$9+1,1))-AVERAGE(OFFSET($H$3,0,0,'Données projet'!$E$9+1,1))</f>
        <v>173.91998182168385</v>
      </c>
      <c r="T46" s="59">
        <f t="shared" si="34"/>
        <v>72.011647893875363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1.134811212452475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1.134811212452475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5.6</v>
      </c>
      <c r="AI46" s="13">
        <f>IF('Données projet'!$A$62&gt;35,AI45+AH46-AQ45,IF(A46&lt;'Données projet'!$A$62,$AF$205^A46,IF(A46='Données projet'!$A$62,'Données projet'!$B$62,AI45+AH46-AQ45)))</f>
        <v>95.8</v>
      </c>
      <c r="AJ46" s="13">
        <f>AI46*VLOOKUP('Données projet'!$B$10,Paramètres!$A$1:$I$89,3,0)*VLOOKUP('Données projet'!$B$10,Paramètres!$A$1:$I$89,5,0)</f>
        <v>103.11911999999998</v>
      </c>
      <c r="AK46" s="13">
        <f t="shared" si="35"/>
        <v>27.703751333753903</v>
      </c>
      <c r="AL46" s="20">
        <f t="shared" si="4"/>
        <v>227.84983423962134</v>
      </c>
      <c r="AM46" s="59">
        <f t="shared" si="5"/>
        <v>521.18316757295463</v>
      </c>
      <c r="AN46" s="59">
        <f ca="1">AVERAGE(OFFSET($AM$3,0,0,'Données projet'!$E$10+1,1))-AVERAGE(OFFSET($H$3,0,0,'Données projet'!$E$10+1,1))</f>
        <v>150.9416300233616</v>
      </c>
      <c r="AO46" s="59">
        <f t="shared" si="36"/>
        <v>92.286636088269972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1.350034028607255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1.350034028607255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5.6</v>
      </c>
      <c r="BD46" s="12">
        <f>IF('Données projet'!$A$88&gt;35,BD45+BC46-BL45,IF(A46&lt;'Données projet'!$A$88,$BA$205^A46,IF(A46='Données projet'!$A$88,'Données projet'!$B$88,BD45+BC46-BL45)))</f>
        <v>95.8</v>
      </c>
      <c r="BE46" s="13">
        <f>BD46*VLOOKUP('Données projet'!$B$11,Paramètres!$A$1:$I$89,3,0)*VLOOKUP('Données projet'!$B$11,Paramètres!$A$1:$I$89,5,0)</f>
        <v>92.65776000000001</v>
      </c>
      <c r="BF46" s="13">
        <f t="shared" si="37"/>
        <v>25.205122972074609</v>
      </c>
      <c r="BG46" s="20">
        <f t="shared" si="7"/>
        <v>205.2778545096966</v>
      </c>
      <c r="BH46" s="59">
        <f t="shared" si="8"/>
        <v>498.61118784302994</v>
      </c>
      <c r="BI46" s="59">
        <f ca="1">AVERAGE(OFFSET($BH$3,0,0,'Données projet'!$E$11+1,1))-AVERAGE(OFFSET($H$3,0,0,'Données projet'!$E$11+1,1))</f>
        <v>131.02416800340484</v>
      </c>
      <c r="BJ46" s="59">
        <f t="shared" si="38"/>
        <v>79.394119001888555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1.2130740546905767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1.2130740546905767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5.6</v>
      </c>
      <c r="BY46" s="12">
        <f>IF('Données projet'!$A$114&gt;35,BY45+BX46-CG45,IF(A46&lt;'Données projet'!$A$114,$BV$205^A46,IF(A46='Données projet'!$A$114,'Données projet'!$B$114,BY45+BX46-CG45)))</f>
        <v>95.8</v>
      </c>
      <c r="BZ46" s="13">
        <f>BY46*VLOOKUP('Données projet'!$B$12,Paramètres!$A$1:$I$89,3,0)*VLOOKUP('Données projet'!$B$12,Paramètres!$A$1:$I$89,5,0)</f>
        <v>86.679839999999999</v>
      </c>
      <c r="CA46" s="13">
        <f t="shared" si="39"/>
        <v>23.762739053789723</v>
      </c>
      <c r="CB46" s="20">
        <f t="shared" si="10"/>
        <v>192.35415851868379</v>
      </c>
      <c r="CC46" s="59">
        <f t="shared" si="11"/>
        <v>485.6874918520171</v>
      </c>
      <c r="CD46" s="59">
        <f ca="1">AVERAGE(OFFSET($CC$3,0,0,'Données projet'!$E$12+1,1))-AVERAGE(OFFSET($H$3,0,0,'Données projet'!$E$12+1,1))</f>
        <v>119.62076457560073</v>
      </c>
      <c r="CE46" s="59">
        <f t="shared" si="40"/>
        <v>72.011647893875363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1.134811212452475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1.134811212452475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5.6</v>
      </c>
      <c r="CT46" s="12">
        <f>IF('Données projet'!$A$140&gt;35,CT45+CS46-DB45,IF(A46&lt;'Données projet'!$A$140,$CQ$205^A46,IF(A46='Données projet'!$A$140,'Données projet'!$B$140,CT45+CS46-DB45)))</f>
        <v>95.8</v>
      </c>
      <c r="CU46" s="17">
        <f>CT46*VLOOKUP('Données projet'!$B$13,Paramètres!$A$1:$I$89,3,0)*VLOOKUP('Données projet'!$B$13,Paramètres!$A$1:$I$89,5,0)</f>
        <v>103.11911999999998</v>
      </c>
      <c r="CV46" s="13">
        <f t="shared" si="41"/>
        <v>27.703751333753903</v>
      </c>
      <c r="CW46" s="20">
        <f t="shared" si="13"/>
        <v>227.84983423962134</v>
      </c>
      <c r="CX46" s="59">
        <f t="shared" si="14"/>
        <v>521.18316757295463</v>
      </c>
      <c r="CY46" s="59">
        <f ca="1">AVERAGE(OFFSET($CX$3,0,0,'Données projet'!$E$13+1,1))-AVERAGE(OFFSET($H$3,0,0,'Données projet'!$E$13+1,1))</f>
        <v>150.9416300233616</v>
      </c>
      <c r="CZ46" s="59">
        <f t="shared" si="42"/>
        <v>92.286636088269972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1.350034028607255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1.350034028607255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15.4</v>
      </c>
      <c r="DO46" s="12">
        <f>IF('Données projet'!$A$166&gt;35,DO45+DN46-DW45,IF(A46&lt;'Données projet'!$A$166,$DL$205^A46,IF(A46='Données projet'!$A$166,'Données projet'!$B$166,DO45+DN46-DW45)))</f>
        <v>298.19999999999987</v>
      </c>
      <c r="DP46" s="17">
        <f>DO46*VLOOKUP('Données projet'!$B$14,Paramètres!$A$1:$I$89,3,0)*VLOOKUP('Données projet'!$B$14,Paramètres!$A$1:$I$89,5,0)</f>
        <v>178.32359999999994</v>
      </c>
      <c r="DQ46" s="13">
        <f t="shared" si="43"/>
        <v>44.949015186129948</v>
      </c>
      <c r="DR46" s="20">
        <f t="shared" si="16"/>
        <v>388.86647144917623</v>
      </c>
      <c r="DS46" s="59">
        <f t="shared" si="17"/>
        <v>682.19980478250955</v>
      </c>
      <c r="DT46" s="59">
        <f ca="1">AVERAGE(OFFSET($DS$3,0,0,'Données projet'!$E$14+1,1))-AVERAGE(OFFSET($H$3,0,0,'Données projet'!$E$14+1,1))</f>
        <v>249.22792522076639</v>
      </c>
      <c r="DU46" s="59">
        <f t="shared" si="44"/>
        <v>244.53725944480669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21.009105988690788</v>
      </c>
      <c r="EB46" s="21">
        <f>EXP(-LN(2)/25)*EB45+(1-EXP(-LN(2)/25))/(LN(2)/25)*Calculateur!DW46*Calculateur!DY46*VLOOKUP('Données projet'!$B$14,Paramètres!$A$1:$I$89,3,0)*0.475*44/12</f>
        <v>16.937175865162136</v>
      </c>
      <c r="EC46" s="21">
        <f>EXP(-LN(2)/2)*EC45+(1-EXP(-LN(2)/2))/(LN(2)/2)*DW46*DZ46*VLOOKUP('Données projet'!$B$14,Paramètres!$A$1:$I$89,3,0)*0.475*44/12</f>
        <v>2.7747833411660232</v>
      </c>
      <c r="ED46" s="22">
        <f t="shared" si="18"/>
        <v>40.721065195018944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27.6</v>
      </c>
      <c r="EJ46" s="12">
        <f>IF('Données projet'!$A$192&gt;35,EJ45+EI46-ER45,IF(A46&lt;'Données projet'!$A$192,$EG$205^A46,IF(A46='Données projet'!$A$192,'Données projet'!$B$192,EJ45+EI46-ER45)))</f>
        <v>538.80000000000018</v>
      </c>
      <c r="EK46" s="17">
        <f>EJ46*VLOOKUP('Données projet'!$B$15,Paramètres!$A$1:$I$89,3,0)*VLOOKUP('Données projet'!$B$15,Paramètres!$A$1:$I$89,5,0)</f>
        <v>301.18920000000014</v>
      </c>
      <c r="EL46" s="13">
        <f t="shared" si="45"/>
        <v>71.425708042861942</v>
      </c>
      <c r="EM46" s="20">
        <f t="shared" si="19"/>
        <v>648.97096484131816</v>
      </c>
      <c r="EN46" s="59">
        <f t="shared" si="20"/>
        <v>942.30429817465142</v>
      </c>
      <c r="EO46" s="59">
        <f ca="1">AVERAGE(OFFSET($EN$3,0,0,'Données projet'!$E$15+1,1))-AVERAGE(OFFSET($H$3,0,0,'Données projet'!$E$15+1,1))</f>
        <v>313.36787814924116</v>
      </c>
      <c r="EP46" s="59">
        <f t="shared" si="46"/>
        <v>438.72984487610216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76.460874280073995</v>
      </c>
      <c r="EW46" s="21">
        <f>EXP(-LN(2)/25)*EW45+(1-EXP(-LN(2)/25))/(LN(2)/25)*Calculateur!ER46*Calculateur!ET46*VLOOKUP('Données projet'!$B$15,Paramètres!$A$1:$I$89,3,0)*0.475*44/12</f>
        <v>35.33128278946549</v>
      </c>
      <c r="EX46" s="21">
        <f>EXP(-LN(2)/2)*EX45+(1-EXP(-LN(2)/2))/(LN(2)/2)*ER46*EU46*VLOOKUP('Données projet'!$B$15,Paramètres!$A$1:$I$89,3,0)*0.475*44/12</f>
        <v>4.1389605349478407</v>
      </c>
      <c r="EY46" s="22">
        <f t="shared" si="21"/>
        <v>115.93111760448733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5.6</v>
      </c>
      <c r="N47" s="13">
        <f>IF('Données projet'!$A$36&gt;35,N46+M47-V46,IF(A47&lt;'Données projet'!$A$36,$K$205^A47,IF(A47='Données projet'!$A$36,'Données projet'!$B$36,N46+M47-V46)))</f>
        <v>101.39999999999999</v>
      </c>
      <c r="O47" s="13">
        <f>N47*VLOOKUP('Données projet'!$B$9,Paramètres!$A$1:$I$89,3,0)*VLOOKUP('Données projet'!$B$9,Paramètres!$A$1:$I$89,5,0)</f>
        <v>91.746719999999982</v>
      </c>
      <c r="P47" s="13">
        <f t="shared" si="33"/>
        <v>24.986019358738364</v>
      </c>
      <c r="Q47" s="20">
        <f t="shared" si="53"/>
        <v>203.30952104980258</v>
      </c>
      <c r="R47" s="59">
        <f t="shared" si="0"/>
        <v>496.6428543831359</v>
      </c>
      <c r="S47" s="59">
        <f ca="1">AVERAGE(OFFSET($R$3,0,0,'Données projet'!$E$9+1,1))-AVERAGE(OFFSET($H$3,0,0,'Données projet'!$E$9+1,1))</f>
        <v>173.91998182168385</v>
      </c>
      <c r="T47" s="59">
        <f t="shared" si="34"/>
        <v>72.011647893875363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1.1125582567427759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1.1125582567427759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5.6</v>
      </c>
      <c r="AI47" s="13">
        <f>IF('Données projet'!$A$62&gt;35,AI46+AH47-AQ46,IF(A47&lt;'Données projet'!$A$62,$AF$205^A47,IF(A47='Données projet'!$A$62,'Données projet'!$B$62,AI46+AH47-AQ46)))</f>
        <v>101.39999999999999</v>
      </c>
      <c r="AJ47" s="13">
        <f>AI47*VLOOKUP('Données projet'!$B$10,Paramètres!$A$1:$I$89,3,0)*VLOOKUP('Données projet'!$B$10,Paramètres!$A$1:$I$89,5,0)</f>
        <v>109.14695999999999</v>
      </c>
      <c r="AK47" s="13">
        <f t="shared" si="35"/>
        <v>29.129910721485377</v>
      </c>
      <c r="AL47" s="20">
        <f t="shared" si="4"/>
        <v>240.83221650658706</v>
      </c>
      <c r="AM47" s="59">
        <f t="shared" si="5"/>
        <v>534.16554983992035</v>
      </c>
      <c r="AN47" s="59">
        <f ca="1">AVERAGE(OFFSET($AM$3,0,0,'Données projet'!$E$10+1,1))-AVERAGE(OFFSET($H$3,0,0,'Données projet'!$E$10+1,1))</f>
        <v>150.9416300233616</v>
      </c>
      <c r="AO47" s="59">
        <f t="shared" si="36"/>
        <v>92.286636088269972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1.3235606847457162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1.3235606847457162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5.6</v>
      </c>
      <c r="BD47" s="12">
        <f>IF('Données projet'!$A$88&gt;35,BD46+BC47-BL46,IF(A47&lt;'Données projet'!$A$88,$BA$205^A47,IF(A47='Données projet'!$A$88,'Données projet'!$B$88,BD46+BC47-BL46)))</f>
        <v>101.39999999999999</v>
      </c>
      <c r="BE47" s="13">
        <f>BD47*VLOOKUP('Données projet'!$B$11,Paramètres!$A$1:$I$89,3,0)*VLOOKUP('Données projet'!$B$11,Paramètres!$A$1:$I$89,5,0)</f>
        <v>98.074079999999995</v>
      </c>
      <c r="BF47" s="13">
        <f t="shared" si="37"/>
        <v>26.502655653208453</v>
      </c>
      <c r="BG47" s="20">
        <f t="shared" si="7"/>
        <v>216.97114792933803</v>
      </c>
      <c r="BH47" s="59">
        <f t="shared" si="8"/>
        <v>510.30448126267135</v>
      </c>
      <c r="BI47" s="59">
        <f ca="1">AVERAGE(OFFSET($BH$3,0,0,'Données projet'!$E$11+1,1))-AVERAGE(OFFSET($H$3,0,0,'Données projet'!$E$11+1,1))</f>
        <v>131.02416800340484</v>
      </c>
      <c r="BJ47" s="59">
        <f t="shared" si="38"/>
        <v>79.394119001888555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1.1892864123802087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1.1892864123802087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5.6</v>
      </c>
      <c r="BY47" s="12">
        <f>IF('Données projet'!$A$114&gt;35,BY46+BX47-CG46,IF(A47&lt;'Données projet'!$A$114,$BV$205^A47,IF(A47='Données projet'!$A$114,'Données projet'!$B$114,BY46+BX47-CG46)))</f>
        <v>101.39999999999999</v>
      </c>
      <c r="BZ47" s="13">
        <f>BY47*VLOOKUP('Données projet'!$B$12,Paramètres!$A$1:$I$89,3,0)*VLOOKUP('Données projet'!$B$12,Paramètres!$A$1:$I$89,5,0)</f>
        <v>91.746719999999982</v>
      </c>
      <c r="CA47" s="13">
        <f t="shared" si="39"/>
        <v>24.986019358738364</v>
      </c>
      <c r="CB47" s="20">
        <f t="shared" si="10"/>
        <v>203.30952104980258</v>
      </c>
      <c r="CC47" s="59">
        <f t="shared" si="11"/>
        <v>496.6428543831359</v>
      </c>
      <c r="CD47" s="59">
        <f ca="1">AVERAGE(OFFSET($CC$3,0,0,'Données projet'!$E$12+1,1))-AVERAGE(OFFSET($H$3,0,0,'Données projet'!$E$12+1,1))</f>
        <v>119.62076457560073</v>
      </c>
      <c r="CE47" s="59">
        <f t="shared" si="40"/>
        <v>72.011647893875363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1.1125582567427759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1.1125582567427759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5.6</v>
      </c>
      <c r="CT47" s="12">
        <f>IF('Données projet'!$A$140&gt;35,CT46+CS47-DB46,IF(A47&lt;'Données projet'!$A$140,$CQ$205^A47,IF(A47='Données projet'!$A$140,'Données projet'!$B$140,CT46+CS47-DB46)))</f>
        <v>101.39999999999999</v>
      </c>
      <c r="CU47" s="17">
        <f>CT47*VLOOKUP('Données projet'!$B$13,Paramètres!$A$1:$I$89,3,0)*VLOOKUP('Données projet'!$B$13,Paramètres!$A$1:$I$89,5,0)</f>
        <v>109.14695999999999</v>
      </c>
      <c r="CV47" s="13">
        <f t="shared" si="41"/>
        <v>29.129910721485377</v>
      </c>
      <c r="CW47" s="20">
        <f t="shared" si="13"/>
        <v>240.83221650658706</v>
      </c>
      <c r="CX47" s="59">
        <f t="shared" si="14"/>
        <v>534.16554983992035</v>
      </c>
      <c r="CY47" s="59">
        <f ca="1">AVERAGE(OFFSET($CX$3,0,0,'Données projet'!$E$13+1,1))-AVERAGE(OFFSET($H$3,0,0,'Données projet'!$E$13+1,1))</f>
        <v>150.9416300233616</v>
      </c>
      <c r="CZ47" s="59">
        <f t="shared" si="42"/>
        <v>92.286636088269972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1.3235606847457162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1.3235606847457162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15.4</v>
      </c>
      <c r="DO47" s="12">
        <f>IF('Données projet'!$A$166&gt;35,DO46+DN47-DW46,IF(A47&lt;'Données projet'!$A$166,$DL$205^A47,IF(A47='Données projet'!$A$166,'Données projet'!$B$166,DO46+DN47-DW46)))</f>
        <v>313.59999999999985</v>
      </c>
      <c r="DP47" s="17">
        <f>DO47*VLOOKUP('Données projet'!$B$14,Paramètres!$A$1:$I$89,3,0)*VLOOKUP('Données projet'!$B$14,Paramètres!$A$1:$I$89,5,0)</f>
        <v>187.53279999999992</v>
      </c>
      <c r="DQ47" s="13">
        <f t="shared" si="43"/>
        <v>46.994075725880812</v>
      </c>
      <c r="DR47" s="20">
        <f t="shared" si="16"/>
        <v>408.46764188924226</v>
      </c>
      <c r="DS47" s="59">
        <f t="shared" si="17"/>
        <v>701.80097522257552</v>
      </c>
      <c r="DT47" s="59">
        <f ca="1">AVERAGE(OFFSET($DS$3,0,0,'Données projet'!$E$14+1,1))-AVERAGE(OFFSET($H$3,0,0,'Données projet'!$E$14+1,1))</f>
        <v>249.22792522076639</v>
      </c>
      <c r="DU47" s="59">
        <f t="shared" si="44"/>
        <v>244.53725944480669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20.597130234541908</v>
      </c>
      <c r="EB47" s="21">
        <f>EXP(-LN(2)/25)*EB46+(1-EXP(-LN(2)/25))/(LN(2)/25)*Calculateur!DW47*Calculateur!DY47*VLOOKUP('Données projet'!$B$14,Paramètres!$A$1:$I$89,3,0)*0.475*44/12</f>
        <v>16.474027900441907</v>
      </c>
      <c r="EC47" s="21">
        <f>EXP(-LN(2)/2)*EC46+(1-EXP(-LN(2)/2))/(LN(2)/2)*DW47*DZ47*VLOOKUP('Données projet'!$B$14,Paramètres!$A$1:$I$89,3,0)*0.475*44/12</f>
        <v>1.9620681168619605</v>
      </c>
      <c r="ED47" s="22">
        <f t="shared" si="18"/>
        <v>39.033226251845775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27.6</v>
      </c>
      <c r="EJ47" s="12">
        <f>IF('Données projet'!$A$192&gt;35,EJ46+EI47-ER46,IF(A47&lt;'Données projet'!$A$192,$EG$205^A47,IF(A47='Données projet'!$A$192,'Données projet'!$B$192,EJ46+EI47-ER46)))</f>
        <v>566.4000000000002</v>
      </c>
      <c r="EK47" s="17">
        <f>EJ47*VLOOKUP('Données projet'!$B$15,Paramètres!$A$1:$I$89,3,0)*VLOOKUP('Données projet'!$B$15,Paramètres!$A$1:$I$89,5,0)</f>
        <v>316.6176000000001</v>
      </c>
      <c r="EL47" s="13">
        <f t="shared" si="45"/>
        <v>74.649144906508468</v>
      </c>
      <c r="EM47" s="20">
        <f t="shared" si="19"/>
        <v>681.45624737883566</v>
      </c>
      <c r="EN47" s="59">
        <f t="shared" si="20"/>
        <v>974.78958071216903</v>
      </c>
      <c r="EO47" s="59">
        <f ca="1">AVERAGE(OFFSET($EN$3,0,0,'Données projet'!$E$15+1,1))-AVERAGE(OFFSET($H$3,0,0,'Données projet'!$E$15+1,1))</f>
        <v>313.36787814924116</v>
      </c>
      <c r="EP47" s="59">
        <f t="shared" si="46"/>
        <v>438.72984487610216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74.961523171970086</v>
      </c>
      <c r="EW47" s="21">
        <f>EXP(-LN(2)/25)*EW46+(1-EXP(-LN(2)/25))/(LN(2)/25)*Calculateur!ER47*Calculateur!ET47*VLOOKUP('Données projet'!$B$15,Paramètres!$A$1:$I$89,3,0)*0.475*44/12</f>
        <v>34.365147003596142</v>
      </c>
      <c r="EX47" s="21">
        <f>EXP(-LN(2)/2)*EX46+(1-EXP(-LN(2)/2))/(LN(2)/2)*ER47*EU47*VLOOKUP('Données projet'!$B$15,Paramètres!$A$1:$I$89,3,0)*0.475*44/12</f>
        <v>2.9266870613251186</v>
      </c>
      <c r="EY47" s="22">
        <f t="shared" si="21"/>
        <v>112.25335723689133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107</v>
      </c>
      <c r="L48" s="12">
        <f>VLOOKUP(A48,'Données projet'!$A$35:$I$55,9,0)</f>
        <v>5.6</v>
      </c>
      <c r="M48" s="12">
        <f t="array" ref="M48">INDEX(L:L,MIN(IF(ISNUMBER(L48:L244),ROW(L48:L244),"")))</f>
        <v>5.6</v>
      </c>
      <c r="N48" s="13">
        <f>IF('Données projet'!$A$36&gt;35,N47+M48-V47,IF(A48&lt;'Données projet'!$A$36,$K$205^A48,IF(A48='Données projet'!$A$36,'Données projet'!$B$36,N47+M48-V47)))</f>
        <v>106.99999999999999</v>
      </c>
      <c r="O48" s="13">
        <f>N48*VLOOKUP('Données projet'!$B$9,Paramètres!$A$1:$I$89,3,0)*VLOOKUP('Données projet'!$B$9,Paramètres!$A$1:$I$89,5,0)</f>
        <v>96.81359999999998</v>
      </c>
      <c r="P48" s="13">
        <f t="shared" si="33"/>
        <v>26.201456938925315</v>
      </c>
      <c r="Q48" s="20">
        <f t="shared" si="53"/>
        <v>214.25122416862823</v>
      </c>
      <c r="R48" s="59">
        <f t="shared" si="0"/>
        <v>507.58455750196151</v>
      </c>
      <c r="S48" s="59">
        <f ca="1">AVERAGE(OFFSET($R$3,0,0,'Données projet'!$E$9+1,1))-AVERAGE(OFFSET($H$3,0,0,'Données projet'!$E$9+1,1))</f>
        <v>173.91998182168385</v>
      </c>
      <c r="T48" s="59">
        <f t="shared" si="34"/>
        <v>72.011647893875363</v>
      </c>
      <c r="U48" s="15">
        <f>IF(ISNA(VLOOKUP(A48,'Données projet'!$A$35:$I$55,3,0)),0,VLOOKUP(A48,'Données projet'!$A$35:$I$55,3,0))</f>
        <v>5</v>
      </c>
      <c r="V48" s="15">
        <f>IF(ISNA(VLOOKUP(A48,'Données projet'!$A$35:$I$55,4,0)),0,VLOOKUP(A48,'Données projet'!$A$35:$I$55,4,0))</f>
        <v>14</v>
      </c>
      <c r="W48" s="16">
        <f>IF(ISNA(VLOOKUP(A48,'Données projet'!$A$35:$I$55,5,0)),0%,VLOOKUP(A48,'Données projet'!$A$35:$I$55,5,0)*VLOOKUP('Données projet'!$B$9,Paramètres!$A$1:$I$89,7,0))</f>
        <v>8.6000000000000007E-2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2.2950181056008825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2.2950181056008825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107</v>
      </c>
      <c r="AG48" s="12">
        <f>VLOOKUP(A48,'Données projet'!$A$61:$I$81,9,0)</f>
        <v>5.6</v>
      </c>
      <c r="AH48" s="12">
        <f t="array" ref="AH48">INDEX(AG:AG,MIN(IF(ISNUMBER(AG48:AG244),ROW(AG48:AG244),"")))</f>
        <v>5.6</v>
      </c>
      <c r="AI48" s="13">
        <f>IF('Données projet'!$A$62&gt;35,AI47+AH48-AQ47,IF(A48&lt;'Données projet'!$A$62,$AF$205^A48,IF(A48='Données projet'!$A$62,'Données projet'!$B$62,AI47+AH48-AQ47)))</f>
        <v>106.99999999999999</v>
      </c>
      <c r="AJ48" s="13">
        <f>AI48*VLOOKUP('Données projet'!$B$10,Paramètres!$A$1:$I$89,3,0)*VLOOKUP('Données projet'!$B$10,Paramètres!$A$1:$I$89,5,0)</f>
        <v>115.17479999999998</v>
      </c>
      <c r="AK48" s="13">
        <f t="shared" si="35"/>
        <v>30.546926681092497</v>
      </c>
      <c r="AL48" s="20">
        <f t="shared" si="4"/>
        <v>253.79867396956936</v>
      </c>
      <c r="AM48" s="59">
        <f t="shared" si="5"/>
        <v>547.13200730290271</v>
      </c>
      <c r="AN48" s="59">
        <f ca="1">AVERAGE(OFFSET($AM$3,0,0,'Données projet'!$E$10+1,1))-AVERAGE(OFFSET($H$3,0,0,'Données projet'!$E$10+1,1))</f>
        <v>150.9416300233616</v>
      </c>
      <c r="AO48" s="59">
        <f t="shared" si="36"/>
        <v>92.286636088269972</v>
      </c>
      <c r="AP48" s="15">
        <f>IF(ISNA(VLOOKUP(A48,'Données projet'!$A$61:$I$81,3,0)),0,VLOOKUP(A48,'Données projet'!$A$61:$I$81,3,0))</f>
        <v>5</v>
      </c>
      <c r="AQ48" s="15">
        <f>IF(ISNA(VLOOKUP(A48,'Données projet'!$A$61:$I$81,4,0)),0,VLOOKUP(A48,'Données projet'!$A$61:$I$81,4,0))</f>
        <v>14</v>
      </c>
      <c r="AR48" s="16">
        <f>IF(ISNA(VLOOKUP(A48,'Données projet'!$A$61:$I$81,5,0)),0%,VLOOKUP(A48,'Données projet'!$A$61:$I$81,5,0)*VLOOKUP('Données projet'!$B$10,Paramètres!$A$1:$I$89,7,0))</f>
        <v>0.129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3.4466170066620134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3.4466170066620134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107</v>
      </c>
      <c r="BB48" s="12">
        <f>VLOOKUP(A48,'Données projet'!$A$87:$I$107,9,0)</f>
        <v>5.6</v>
      </c>
      <c r="BC48" s="12">
        <f t="array" ref="BC48">INDEX(BB:BB,MIN(IF(ISNUMBER(BB48:BB244),ROW(BB48:BB244),"")))</f>
        <v>5.6</v>
      </c>
      <c r="BD48" s="12">
        <f>IF('Données projet'!$A$88&gt;35,BD47+BC48-BL47,IF(A48&lt;'Données projet'!$A$88,$BA$205^A48,IF(A48='Données projet'!$A$88,'Données projet'!$B$88,BD47+BC48-BL47)))</f>
        <v>106.99999999999999</v>
      </c>
      <c r="BE48" s="13">
        <f>BD48*VLOOKUP('Données projet'!$B$11,Paramètres!$A$1:$I$89,3,0)*VLOOKUP('Données projet'!$B$11,Paramètres!$A$1:$I$89,5,0)</f>
        <v>103.49039999999998</v>
      </c>
      <c r="BF48" s="13">
        <f t="shared" si="37"/>
        <v>27.791869560921153</v>
      </c>
      <c r="BG48" s="20">
        <f t="shared" si="7"/>
        <v>228.64995281860425</v>
      </c>
      <c r="BH48" s="59">
        <f t="shared" si="8"/>
        <v>521.98328615193759</v>
      </c>
      <c r="BI48" s="59">
        <f ca="1">AVERAGE(OFFSET($BH$3,0,0,'Données projet'!$E$11+1,1))-AVERAGE(OFFSET($H$3,0,0,'Données projet'!$E$11+1,1))</f>
        <v>131.02416800340484</v>
      </c>
      <c r="BJ48" s="59">
        <f t="shared" si="38"/>
        <v>79.394119001888555</v>
      </c>
      <c r="BK48" s="15">
        <f>IF(ISNA(VLOOKUP(A48,'Données projet'!$A$87:$I$107,3,0)),0,VLOOKUP(A48,'Données projet'!$A$87:$I$107,3,0))</f>
        <v>5</v>
      </c>
      <c r="BL48" s="15">
        <f>IF(ISNA(VLOOKUP(A48,'Données projet'!$A$87:$I$107,4,0)),0,VLOOKUP(A48,'Données projet'!$A$87:$I$107,4,0))</f>
        <v>14</v>
      </c>
      <c r="BM48" s="16">
        <f>IF(ISNA(VLOOKUP(A48,'Données projet'!$A$87:$I$107,5,0)),0%,VLOOKUP(A48,'Données projet'!$A$87:$I$107,5,0)*VLOOKUP('Données projet'!$B$11,Paramètres!$A$1:$I$89,7,0))</f>
        <v>0.129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3.0969602088847088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3.0969602088847088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107</v>
      </c>
      <c r="BW48" s="12">
        <f>VLOOKUP(A48,'Données projet'!$A$113:$I$133,9,0)</f>
        <v>5.6</v>
      </c>
      <c r="BX48" s="12">
        <f t="array" ref="BX48">INDEX(BW:BW,MIN(IF(ISNUMBER(BW48:BW244),ROW(BW48:BW244),"")))</f>
        <v>5.6</v>
      </c>
      <c r="BY48" s="12">
        <f>IF('Données projet'!$A$114&gt;35,BY47+BX48-CG47,IF(A48&lt;'Données projet'!$A$114,$BV$205^A48,IF(A48='Données projet'!$A$114,'Données projet'!$B$114,BY47+BX48-CG47)))</f>
        <v>106.99999999999999</v>
      </c>
      <c r="BZ48" s="13">
        <f>BY48*VLOOKUP('Données projet'!$B$12,Paramètres!$A$1:$I$89,3,0)*VLOOKUP('Données projet'!$B$12,Paramètres!$A$1:$I$89,5,0)</f>
        <v>96.81359999999998</v>
      </c>
      <c r="CA48" s="13">
        <f t="shared" si="39"/>
        <v>26.201456938925315</v>
      </c>
      <c r="CB48" s="20">
        <f t="shared" si="10"/>
        <v>214.25122416862823</v>
      </c>
      <c r="CC48" s="59">
        <f t="shared" si="11"/>
        <v>507.58455750196151</v>
      </c>
      <c r="CD48" s="59">
        <f ca="1">AVERAGE(OFFSET($CC$3,0,0,'Données projet'!$E$12+1,1))-AVERAGE(OFFSET($H$3,0,0,'Données projet'!$E$12+1,1))</f>
        <v>119.62076457560073</v>
      </c>
      <c r="CE48" s="59">
        <f t="shared" si="40"/>
        <v>72.011647893875363</v>
      </c>
      <c r="CF48" s="15">
        <f>IF(ISNA(VLOOKUP(A48,'Données projet'!$A$113:$I$133,3,0)),0,VLOOKUP(A48,'Données projet'!$A$113:$I$133,3,0))</f>
        <v>5</v>
      </c>
      <c r="CG48" s="15">
        <f>IF(ISNA(VLOOKUP(A48,'Données projet'!$A$113:$I$133,4,0)),0,VLOOKUP(A48,'Données projet'!$A$113:$I$133,4,0))</f>
        <v>14</v>
      </c>
      <c r="CH48" s="16">
        <f>IF(ISNA(VLOOKUP(A48,'Données projet'!$A$113:$I$133,5,0)),0%,VLOOKUP(A48,'Données projet'!$A$113:$I$133,5,0)*VLOOKUP('Données projet'!$B$12,Paramètres!$A$1:$I$89,7,0))</f>
        <v>0.129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2.8971563244405334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2.8971563244405334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107</v>
      </c>
      <c r="CR48" s="12">
        <f>VLOOKUP(A48,'Données projet'!$A$139:$I$159,9,0)</f>
        <v>5.6</v>
      </c>
      <c r="CS48" s="12">
        <f t="array" ref="CS48">INDEX(CR:CR,MIN(IF(ISNUMBER(CR48:CR244),ROW(CR48:CR244),"")))</f>
        <v>5.6</v>
      </c>
      <c r="CT48" s="12">
        <f>IF('Données projet'!$A$140&gt;35,CT47+CS48-DB47,IF(A48&lt;'Données projet'!$A$140,$CQ$205^A48,IF(A48='Données projet'!$A$140,'Données projet'!$B$140,CT47+CS48-DB47)))</f>
        <v>106.99999999999999</v>
      </c>
      <c r="CU48" s="17">
        <f>CT48*VLOOKUP('Données projet'!$B$13,Paramètres!$A$1:$I$89,3,0)*VLOOKUP('Données projet'!$B$13,Paramètres!$A$1:$I$89,5,0)</f>
        <v>115.17479999999998</v>
      </c>
      <c r="CV48" s="13">
        <f t="shared" si="41"/>
        <v>30.546926681092497</v>
      </c>
      <c r="CW48" s="20">
        <f t="shared" si="13"/>
        <v>253.79867396956936</v>
      </c>
      <c r="CX48" s="59">
        <f t="shared" si="14"/>
        <v>547.13200730290271</v>
      </c>
      <c r="CY48" s="59">
        <f ca="1">AVERAGE(OFFSET($CX$3,0,0,'Données projet'!$E$13+1,1))-AVERAGE(OFFSET($H$3,0,0,'Données projet'!$E$13+1,1))</f>
        <v>150.9416300233616</v>
      </c>
      <c r="CZ48" s="59">
        <f t="shared" si="42"/>
        <v>92.286636088269972</v>
      </c>
      <c r="DA48" s="15">
        <f>IF(ISNA(VLOOKUP(A48,'Données projet'!$A$139:$I$159,3,0)),0,VLOOKUP(A48,'Données projet'!$A$139:$I$159,3,0))</f>
        <v>5</v>
      </c>
      <c r="DB48" s="15">
        <f>IF(ISNA(VLOOKUP(A48,'Données projet'!$A$139:$I$159,4,0)),0,VLOOKUP(A48,'Données projet'!$A$139:$I$159,4,0))</f>
        <v>14</v>
      </c>
      <c r="DC48" s="16">
        <f>IF(ISNA(VLOOKUP(A48,'Données projet'!$A$139:$I$159,5,0)),0%,VLOOKUP(A48,'Données projet'!$A$139:$I$159,5,0)*VLOOKUP('Données projet'!$B$13,Paramètres!$A$1:$I$89,7,0))</f>
        <v>0.129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3.4466170066620134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3.4466170066620134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329</v>
      </c>
      <c r="DM48" s="12">
        <f>VLOOKUP(A48,'Données projet'!$A$165:$I$185,9,0)</f>
        <v>15.4</v>
      </c>
      <c r="DN48" s="12">
        <f t="array" ref="DN48">INDEX(DM:DM,MIN(IF(ISNUMBER(DM48:DM244),ROW(DM48:DM244),"")))</f>
        <v>15.4</v>
      </c>
      <c r="DO48" s="12">
        <f>IF('Données projet'!$A$166&gt;35,DO47+DN48-DW47,IF(A48&lt;'Données projet'!$A$166,$DL$205^A48,IF(A48='Données projet'!$A$166,'Données projet'!$B$166,DO47+DN48-DW47)))</f>
        <v>328.99999999999983</v>
      </c>
      <c r="DP48" s="17">
        <f>DO48*VLOOKUP('Données projet'!$B$14,Paramètres!$A$1:$I$89,3,0)*VLOOKUP('Données projet'!$B$14,Paramètres!$A$1:$I$89,5,0)</f>
        <v>196.7419999999999</v>
      </c>
      <c r="DQ48" s="13">
        <f t="shared" si="43"/>
        <v>49.027474951150033</v>
      </c>
      <c r="DR48" s="20">
        <f t="shared" si="16"/>
        <v>428.04850220658614</v>
      </c>
      <c r="DS48" s="59">
        <f t="shared" si="17"/>
        <v>721.38183553991939</v>
      </c>
      <c r="DT48" s="59">
        <f ca="1">AVERAGE(OFFSET($DS$3,0,0,'Données projet'!$E$14+1,1))-AVERAGE(OFFSET($H$3,0,0,'Données projet'!$E$14+1,1))</f>
        <v>249.22792522076639</v>
      </c>
      <c r="DU48" s="59">
        <f t="shared" si="44"/>
        <v>244.53725944480669</v>
      </c>
      <c r="DV48" s="15">
        <f>IF(ISNA(VLOOKUP(A48,'Données projet'!$A$165:$I$185,3,0)),0,VLOOKUP(A48,'Données projet'!$A$165:$I$185,3,0))</f>
        <v>7</v>
      </c>
      <c r="DW48" s="15">
        <f>IF(ISNA(VLOOKUP(A48,'Données projet'!$A$165:$I$185,4,0)),0,VLOOKUP(A48,'Données projet'!$A$165:$I$185,4,0))</f>
        <v>42</v>
      </c>
      <c r="DX48" s="16">
        <f>IF(ISNA(VLOOKUP(A48,'Données projet'!$A$165:$I$185,5,0)),0%,VLOOKUP(A48,'Données projet'!$A$165:$I$185,5,0)*VLOOKUP('Données projet'!$B$14,Paramètres!$A$1:$I$89,7,0))</f>
        <v>0.22500000000000001</v>
      </c>
      <c r="DY48" s="16">
        <f>IF(ISNA(VLOOKUP(A48,'Données projet'!$A$165:$I$185,6,0)),0%,VLOOKUP(A48,'Données projet'!$A$165:$I$185,6,0)*VLOOKUP('Données projet'!$B$14,Paramètres!$A$1:$I$89,7,0))</f>
        <v>0.12600000000000003</v>
      </c>
      <c r="DZ48" s="16">
        <f>IF(ISNA(VLOOKUP(A48,'Données projet'!$A$165:$I$185,7,0)),0%,VLOOKUP(A48,'Données projet'!$A$165:$I$185,7,0))</f>
        <v>0.22</v>
      </c>
      <c r="EA48" s="21">
        <f>EXP(-LN(2)/35)*EA47+(1-EXP(-LN(2)/35))/(LN(2)/35)*DW48*DX48*VLOOKUP('Données projet'!$B$14,Paramètres!$A$1:$I$89,3,0)*0.475*44/12</f>
        <v>27.689781467785878</v>
      </c>
      <c r="EB48" s="21">
        <f>EXP(-LN(2)/25)*EB47+(1-EXP(-LN(2)/25))/(LN(2)/25)*Calculateur!DW48*Calculateur!DY48*VLOOKUP('Données projet'!$B$14,Paramètres!$A$1:$I$89,3,0)*0.475*44/12</f>
        <v>20.205082452123619</v>
      </c>
      <c r="EC48" s="21">
        <f>EXP(-LN(2)/2)*EC47+(1-EXP(-LN(2)/2))/(LN(2)/2)*DW48*DZ48*VLOOKUP('Données projet'!$B$14,Paramètres!$A$1:$I$89,3,0)*0.475*44/12</f>
        <v>7.6435638752114503</v>
      </c>
      <c r="ED48" s="22">
        <f t="shared" si="18"/>
        <v>55.538427795120946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>
        <f>VLOOKUP(A48,'Données projet'!$A$191:$I$211,2,0)</f>
        <v>594</v>
      </c>
      <c r="EH48" s="12">
        <f>VLOOKUP(A48,'Données projet'!$A$191:$I$211,9,0)</f>
        <v>27.6</v>
      </c>
      <c r="EI48" s="12">
        <f t="array" ref="EI48">INDEX(EH:EH,MIN(IF(ISNUMBER(EH48:EH244),ROW(EH48:EH244),"")))</f>
        <v>27.6</v>
      </c>
      <c r="EJ48" s="12">
        <f>IF('Données projet'!$A$192&gt;35,EJ47+EI48-ER47,IF(A48&lt;'Données projet'!$A$192,$EG$205^A48,IF(A48='Données projet'!$A$192,'Données projet'!$B$192,EJ47+EI48-ER47)))</f>
        <v>594.00000000000023</v>
      </c>
      <c r="EK48" s="17">
        <f>EJ48*VLOOKUP('Données projet'!$B$15,Paramètres!$A$1:$I$89,3,0)*VLOOKUP('Données projet'!$B$15,Paramètres!$A$1:$I$89,5,0)</f>
        <v>332.04600000000016</v>
      </c>
      <c r="EL48" s="13">
        <f t="shared" si="45"/>
        <v>77.854342460208699</v>
      </c>
      <c r="EM48" s="20">
        <f t="shared" si="19"/>
        <v>713.90976311819713</v>
      </c>
      <c r="EN48" s="59">
        <f t="shared" si="20"/>
        <v>1007.2430964515304</v>
      </c>
      <c r="EO48" s="59">
        <f ca="1">AVERAGE(OFFSET($EN$3,0,0,'Données projet'!$E$15+1,1))-AVERAGE(OFFSET($H$3,0,0,'Données projet'!$E$15+1,1))</f>
        <v>313.36787814924116</v>
      </c>
      <c r="EP48" s="59">
        <f t="shared" si="46"/>
        <v>438.72984487610216</v>
      </c>
      <c r="EQ48" s="15">
        <f>IF(ISNA(VLOOKUP(A48,'Données projet'!$A$191:$I$211,3,0)),0,VLOOKUP(A48,'Données projet'!$A$191:$I$211,3,0))</f>
        <v>8</v>
      </c>
      <c r="ER48" s="15">
        <f>IF(ISNA(VLOOKUP(A48,'Données projet'!$A$191:$I$211,4,0)),0,VLOOKUP(A48,'Données projet'!$A$191:$I$211,4,0))</f>
        <v>80</v>
      </c>
      <c r="ES48" s="16">
        <f>IF(ISNA(VLOOKUP(A48,'Données projet'!$A$191:$I$211,5,0)),0%,VLOOKUP(A48,'Données projet'!$A$191:$I$211,5,0)*VLOOKUP('Données projet'!$B$15,Paramètres!$A$1:$I$89,7,0))</f>
        <v>0.38500000000000001</v>
      </c>
      <c r="ET48" s="16">
        <f>IF(ISNA(VLOOKUP(A48,'Données projet'!$A$191:$I$211,6,0)),0%,VLOOKUP(A48,'Données projet'!$A$191:$I$211,6,0)*VLOOKUP('Données projet'!$B$15,Paramètres!$A$1:$I$89,7,0))</f>
        <v>9.3500000000000014E-2</v>
      </c>
      <c r="EU48" s="16">
        <f>IF(ISNA(VLOOKUP(A48,'Données projet'!$A$191:$I$211,7,0)),0%,VLOOKUP(A48,'Données projet'!$A$191:$I$211,7,0))</f>
        <v>0.13</v>
      </c>
      <c r="EV48" s="21">
        <f>EXP(-LN(2)/35)*EV47+(1-EXP(-LN(2)/35))/(LN(2)/35)*ER48*ES48*VLOOKUP('Données projet'!$B$15,Paramètres!$A$1:$I$89,3,0)*0.475*44/12</f>
        <v>96.331298966775861</v>
      </c>
      <c r="EW48" s="21">
        <f>EXP(-LN(2)/25)*EW47+(1-EXP(-LN(2)/25))/(LN(2)/25)*Calculateur!ER48*Calculateur!ET48*VLOOKUP('Données projet'!$B$15,Paramètres!$A$1:$I$89,3,0)*0.475*44/12</f>
        <v>38.950380912769376</v>
      </c>
      <c r="EX48" s="21">
        <f>EXP(-LN(2)/2)*EX47+(1-EXP(-LN(2)/2))/(LN(2)/2)*ER48*EU48*VLOOKUP('Données projet'!$B$15,Paramètres!$A$1:$I$89,3,0)*0.475*44/12</f>
        <v>8.6518259523737839</v>
      </c>
      <c r="EY48" s="22">
        <f t="shared" si="21"/>
        <v>143.93350583191904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5.6</v>
      </c>
      <c r="N49" s="13">
        <f>IF('Données projet'!$A$36&gt;35,N48+M49-V48,IF(A49&lt;'Données projet'!$A$36,$K$205^A49,IF(A49='Données projet'!$A$36,'Données projet'!$B$36,N48+M49-V48)))</f>
        <v>98.59999999999998</v>
      </c>
      <c r="O49" s="13">
        <f>N49*VLOOKUP('Données projet'!$B$9,Paramètres!$A$1:$I$89,3,0)*VLOOKUP('Données projet'!$B$9,Paramètres!$A$1:$I$89,5,0)</f>
        <v>89.213279999999969</v>
      </c>
      <c r="P49" s="13">
        <f t="shared" si="33"/>
        <v>24.375390230293544</v>
      </c>
      <c r="Q49" s="20">
        <f t="shared" si="53"/>
        <v>197.83360065109454</v>
      </c>
      <c r="R49" s="59">
        <f t="shared" si="0"/>
        <v>491.16693398442783</v>
      </c>
      <c r="S49" s="59">
        <f ca="1">AVERAGE(OFFSET($R$3,0,0,'Données projet'!$E$9+1,1))-AVERAGE(OFFSET($H$3,0,0,'Données projet'!$E$9+1,1))</f>
        <v>173.91998182168385</v>
      </c>
      <c r="T49" s="59">
        <f t="shared" si="34"/>
        <v>72.011647893875363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2.2500142003728727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2.2500142003728727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5.6</v>
      </c>
      <c r="AI49" s="13">
        <f>IF('Données projet'!$A$62&gt;35,AI48+AH49-AQ48,IF(A49&lt;'Données projet'!$A$62,$AF$205^A49,IF(A49='Données projet'!$A$62,'Données projet'!$B$62,AI48+AH49-AQ48)))</f>
        <v>98.59999999999998</v>
      </c>
      <c r="AJ49" s="13">
        <f>AI49*VLOOKUP('Données projet'!$B$10,Paramètres!$A$1:$I$89,3,0)*VLOOKUP('Données projet'!$B$10,Paramètres!$A$1:$I$89,5,0)</f>
        <v>106.13303999999997</v>
      </c>
      <c r="AK49" s="13">
        <f t="shared" si="35"/>
        <v>28.418009728368016</v>
      </c>
      <c r="AL49" s="20">
        <f t="shared" si="4"/>
        <v>234.34307827690756</v>
      </c>
      <c r="AM49" s="59">
        <f t="shared" si="5"/>
        <v>527.67641161024085</v>
      </c>
      <c r="AN49" s="59">
        <f ca="1">AVERAGE(OFFSET($AM$3,0,0,'Données projet'!$E$10+1,1))-AVERAGE(OFFSET($H$3,0,0,'Données projet'!$E$10+1,1))</f>
        <v>150.9416300233616</v>
      </c>
      <c r="AO49" s="59">
        <f t="shared" si="36"/>
        <v>92.286636088269972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3.3790309493901676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3.3790309493901676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5.6</v>
      </c>
      <c r="BD49" s="12">
        <f>IF('Données projet'!$A$88&gt;35,BD48+BC49-BL48,IF(A49&lt;'Données projet'!$A$88,$BA$205^A49,IF(A49='Données projet'!$A$88,'Données projet'!$B$88,BD48+BC49-BL48)))</f>
        <v>98.59999999999998</v>
      </c>
      <c r="BE49" s="13">
        <f>BD49*VLOOKUP('Données projet'!$B$11,Paramètres!$A$1:$I$89,3,0)*VLOOKUP('Données projet'!$B$11,Paramètres!$A$1:$I$89,5,0)</f>
        <v>95.365919999999974</v>
      </c>
      <c r="BF49" s="13">
        <f t="shared" si="37"/>
        <v>25.854961705219438</v>
      </c>
      <c r="BG49" s="20">
        <f t="shared" si="7"/>
        <v>211.12636896992379</v>
      </c>
      <c r="BH49" s="59">
        <f t="shared" si="8"/>
        <v>504.45970230325713</v>
      </c>
      <c r="BI49" s="59">
        <f ca="1">AVERAGE(OFFSET($BH$3,0,0,'Données projet'!$E$11+1,1))-AVERAGE(OFFSET($H$3,0,0,'Données projet'!$E$11+1,1))</f>
        <v>131.02416800340484</v>
      </c>
      <c r="BJ49" s="59">
        <f t="shared" si="38"/>
        <v>79.394119001888555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3.0362307081476878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3.0362307081476878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5.6</v>
      </c>
      <c r="BY49" s="12">
        <f>IF('Données projet'!$A$114&gt;35,BY48+BX49-CG48,IF(A49&lt;'Données projet'!$A$114,$BV$205^A49,IF(A49='Données projet'!$A$114,'Données projet'!$B$114,BY48+BX49-CG48)))</f>
        <v>98.59999999999998</v>
      </c>
      <c r="BZ49" s="13">
        <f>BY49*VLOOKUP('Données projet'!$B$12,Paramètres!$A$1:$I$89,3,0)*VLOOKUP('Données projet'!$B$12,Paramètres!$A$1:$I$89,5,0)</f>
        <v>89.213279999999969</v>
      </c>
      <c r="CA49" s="13">
        <f t="shared" si="39"/>
        <v>24.375390230293544</v>
      </c>
      <c r="CB49" s="20">
        <f t="shared" si="10"/>
        <v>197.83360065109454</v>
      </c>
      <c r="CC49" s="59">
        <f t="shared" si="11"/>
        <v>491.16693398442783</v>
      </c>
      <c r="CD49" s="59">
        <f ca="1">AVERAGE(OFFSET($CC$3,0,0,'Données projet'!$E$12+1,1))-AVERAGE(OFFSET($H$3,0,0,'Données projet'!$E$12+1,1))</f>
        <v>119.62076457560073</v>
      </c>
      <c r="CE49" s="59">
        <f t="shared" si="40"/>
        <v>72.011647893875363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2.8403448560091267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2.8403448560091267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5.6</v>
      </c>
      <c r="CT49" s="12">
        <f>IF('Données projet'!$A$140&gt;35,CT48+CS49-DB48,IF(A49&lt;'Données projet'!$A$140,$CQ$205^A49,IF(A49='Données projet'!$A$140,'Données projet'!$B$140,CT48+CS49-DB48)))</f>
        <v>98.59999999999998</v>
      </c>
      <c r="CU49" s="17">
        <f>CT49*VLOOKUP('Données projet'!$B$13,Paramètres!$A$1:$I$89,3,0)*VLOOKUP('Données projet'!$B$13,Paramètres!$A$1:$I$89,5,0)</f>
        <v>106.13303999999997</v>
      </c>
      <c r="CV49" s="13">
        <f t="shared" si="41"/>
        <v>28.418009728368016</v>
      </c>
      <c r="CW49" s="20">
        <f t="shared" si="13"/>
        <v>234.34307827690756</v>
      </c>
      <c r="CX49" s="59">
        <f t="shared" si="14"/>
        <v>527.67641161024085</v>
      </c>
      <c r="CY49" s="59">
        <f ca="1">AVERAGE(OFFSET($CX$3,0,0,'Données projet'!$E$13+1,1))-AVERAGE(OFFSET($H$3,0,0,'Données projet'!$E$13+1,1))</f>
        <v>150.9416300233616</v>
      </c>
      <c r="CZ49" s="59">
        <f t="shared" si="42"/>
        <v>92.286636088269972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3.3790309493901676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3.3790309493901676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14.4</v>
      </c>
      <c r="DO49" s="12">
        <f>IF('Données projet'!$A$166&gt;35,DO48+DN49-DW48,IF(A49&lt;'Données projet'!$A$166,$DL$205^A49,IF(A49='Données projet'!$A$166,'Données projet'!$B$166,DO48+DN49-DW48)))</f>
        <v>301.39999999999981</v>
      </c>
      <c r="DP49" s="17">
        <f>DO49*VLOOKUP('Données projet'!$B$14,Paramètres!$A$1:$I$89,3,0)*VLOOKUP('Données projet'!$B$14,Paramètres!$A$1:$I$89,5,0)</f>
        <v>180.23719999999992</v>
      </c>
      <c r="DQ49" s="13">
        <f t="shared" si="43"/>
        <v>45.374954751017455</v>
      </c>
      <c r="DR49" s="20">
        <f t="shared" si="16"/>
        <v>392.94116952468863</v>
      </c>
      <c r="DS49" s="59">
        <f t="shared" si="17"/>
        <v>686.27450285802195</v>
      </c>
      <c r="DT49" s="59">
        <f ca="1">AVERAGE(OFFSET($DS$3,0,0,'Données projet'!$E$14+1,1))-AVERAGE(OFFSET($H$3,0,0,'Données projet'!$E$14+1,1))</f>
        <v>249.22792522076639</v>
      </c>
      <c r="DU49" s="59">
        <f t="shared" si="44"/>
        <v>244.53725944480669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27.146801742301633</v>
      </c>
      <c r="EB49" s="21">
        <f>EXP(-LN(2)/25)*EB48+(1-EXP(-LN(2)/25))/(LN(2)/25)*Calculateur!DW49*Calculateur!DY49*VLOOKUP('Données projet'!$B$14,Paramètres!$A$1:$I$89,3,0)*0.475*44/12</f>
        <v>19.652573409931193</v>
      </c>
      <c r="EC49" s="21">
        <f>EXP(-LN(2)/2)*EC48+(1-EXP(-LN(2)/2))/(LN(2)/2)*DW49*DZ49*VLOOKUP('Données projet'!$B$14,Paramètres!$A$1:$I$89,3,0)*0.475*44/12</f>
        <v>5.4048158485945423</v>
      </c>
      <c r="ED49" s="22">
        <f t="shared" si="18"/>
        <v>52.204191000827372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25</v>
      </c>
      <c r="EJ49" s="12">
        <f>IF('Données projet'!$A$192&gt;35,EJ48+EI49-ER48,IF(A49&lt;'Données projet'!$A$192,$EG$205^A49,IF(A49='Données projet'!$A$192,'Données projet'!$B$192,EJ48+EI49-ER48)))</f>
        <v>539.00000000000023</v>
      </c>
      <c r="EK49" s="17">
        <f>EJ49*VLOOKUP('Données projet'!$B$15,Paramètres!$A$1:$I$89,3,0)*VLOOKUP('Données projet'!$B$15,Paramètres!$A$1:$I$89,5,0)</f>
        <v>301.30100000000016</v>
      </c>
      <c r="EL49" s="13">
        <f t="shared" si="45"/>
        <v>71.449134320655617</v>
      </c>
      <c r="EM49" s="20">
        <f t="shared" si="19"/>
        <v>649.20648394180876</v>
      </c>
      <c r="EN49" s="59">
        <f t="shared" si="20"/>
        <v>942.53981727514201</v>
      </c>
      <c r="EO49" s="59">
        <f ca="1">AVERAGE(OFFSET($EN$3,0,0,'Données projet'!$E$15+1,1))-AVERAGE(OFFSET($H$3,0,0,'Données projet'!$E$15+1,1))</f>
        <v>313.36787814924116</v>
      </c>
      <c r="EP49" s="59">
        <f t="shared" si="46"/>
        <v>438.72984487610216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94.442300950328061</v>
      </c>
      <c r="EW49" s="21">
        <f>EXP(-LN(2)/25)*EW48+(1-EXP(-LN(2)/25))/(LN(2)/25)*Calculateur!ER49*Calculateur!ET49*VLOOKUP('Données projet'!$B$15,Paramètres!$A$1:$I$89,3,0)*0.475*44/12</f>
        <v>37.885280698398191</v>
      </c>
      <c r="EX49" s="21">
        <f>EXP(-LN(2)/2)*EX48+(1-EXP(-LN(2)/2))/(LN(2)/2)*ER49*EU49*VLOOKUP('Données projet'!$B$15,Paramètres!$A$1:$I$89,3,0)*0.475*44/12</f>
        <v>6.1177648005692626</v>
      </c>
      <c r="EY49" s="22">
        <f t="shared" si="21"/>
        <v>138.44534644929553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5.6</v>
      </c>
      <c r="N50" s="13">
        <f>IF('Données projet'!$A$36&gt;35,N49+M50-V49,IF(A50&lt;'Données projet'!$A$36,$K$205^A50,IF(A50='Données projet'!$A$36,'Données projet'!$B$36,N49+M50-V49)))</f>
        <v>104.19999999999997</v>
      </c>
      <c r="O50" s="13">
        <f>N50*VLOOKUP('Données projet'!$B$9,Paramètres!$A$1:$I$89,3,0)*VLOOKUP('Données projet'!$B$9,Paramètres!$A$1:$I$89,5,0)</f>
        <v>94.280159999999967</v>
      </c>
      <c r="P50" s="13">
        <f t="shared" si="33"/>
        <v>25.594688689992932</v>
      </c>
      <c r="Q50" s="20">
        <f t="shared" si="53"/>
        <v>208.78202813507096</v>
      </c>
      <c r="R50" s="59">
        <f t="shared" si="0"/>
        <v>502.11536146840427</v>
      </c>
      <c r="S50" s="59">
        <f ca="1">AVERAGE(OFFSET($R$3,0,0,'Données projet'!$E$9+1,1))-AVERAGE(OFFSET($H$3,0,0,'Données projet'!$E$9+1,1))</f>
        <v>173.91998182168385</v>
      </c>
      <c r="T50" s="59">
        <f t="shared" si="34"/>
        <v>72.011647893875363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2.2058927942767124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2.2058927942767124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5.6</v>
      </c>
      <c r="AI50" s="13">
        <f>IF('Données projet'!$A$62&gt;35,AI49+AH50-AQ49,IF(A50&lt;'Données projet'!$A$62,$AF$205^A50,IF(A50='Données projet'!$A$62,'Données projet'!$B$62,AI49+AH50-AQ49)))</f>
        <v>104.19999999999997</v>
      </c>
      <c r="AJ50" s="13">
        <f>AI50*VLOOKUP('Données projet'!$B$10,Paramètres!$A$1:$I$89,3,0)*VLOOKUP('Données projet'!$B$10,Paramètres!$A$1:$I$89,5,0)</f>
        <v>112.16087999999998</v>
      </c>
      <c r="AK50" s="13">
        <f t="shared" si="35"/>
        <v>29.839526888181876</v>
      </c>
      <c r="AL50" s="20">
        <f t="shared" si="4"/>
        <v>247.31737533025003</v>
      </c>
      <c r="AM50" s="59">
        <f t="shared" si="5"/>
        <v>540.65070866358337</v>
      </c>
      <c r="AN50" s="59">
        <f ca="1">AVERAGE(OFFSET($AM$3,0,0,'Données projet'!$E$10+1,1))-AVERAGE(OFFSET($H$3,0,0,'Données projet'!$E$10+1,1))</f>
        <v>150.9416300233616</v>
      </c>
      <c r="AO50" s="59">
        <f t="shared" si="36"/>
        <v>92.286636088269972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3.3127702134779979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3.3127702134779979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5.6</v>
      </c>
      <c r="BD50" s="12">
        <f>IF('Données projet'!$A$88&gt;35,BD49+BC50-BL49,IF(A50&lt;'Données projet'!$A$88,$BA$205^A50,IF(A50='Données projet'!$A$88,'Données projet'!$B$88,BD49+BC50-BL49)))</f>
        <v>104.19999999999997</v>
      </c>
      <c r="BE50" s="13">
        <f>BD50*VLOOKUP('Données projet'!$B$11,Paramètres!$A$1:$I$89,3,0)*VLOOKUP('Données projet'!$B$11,Paramètres!$A$1:$I$89,5,0)</f>
        <v>100.78223999999997</v>
      </c>
      <c r="BF50" s="13">
        <f t="shared" si="37"/>
        <v>27.148270845500655</v>
      </c>
      <c r="BG50" s="20">
        <f t="shared" si="7"/>
        <v>222.81230638924691</v>
      </c>
      <c r="BH50" s="59">
        <f t="shared" si="8"/>
        <v>516.1456397225802</v>
      </c>
      <c r="BI50" s="59">
        <f ca="1">AVERAGE(OFFSET($BH$3,0,0,'Données projet'!$E$11+1,1))-AVERAGE(OFFSET($H$3,0,0,'Données projet'!$E$11+1,1))</f>
        <v>131.02416800340484</v>
      </c>
      <c r="BJ50" s="59">
        <f t="shared" si="38"/>
        <v>79.394119001888555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2.9766920758787818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2.9766920758787818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5.6</v>
      </c>
      <c r="BY50" s="12">
        <f>IF('Données projet'!$A$114&gt;35,BY49+BX50-CG49,IF(A50&lt;'Données projet'!$A$114,$BV$205^A50,IF(A50='Données projet'!$A$114,'Données projet'!$B$114,BY49+BX50-CG49)))</f>
        <v>104.19999999999997</v>
      </c>
      <c r="BZ50" s="13">
        <f>BY50*VLOOKUP('Données projet'!$B$12,Paramètres!$A$1:$I$89,3,0)*VLOOKUP('Données projet'!$B$12,Paramètres!$A$1:$I$89,5,0)</f>
        <v>94.280159999999967</v>
      </c>
      <c r="CA50" s="13">
        <f t="shared" si="39"/>
        <v>25.594688689992932</v>
      </c>
      <c r="CB50" s="20">
        <f t="shared" si="10"/>
        <v>208.78202813507096</v>
      </c>
      <c r="CC50" s="59">
        <f t="shared" si="11"/>
        <v>502.11536146840427</v>
      </c>
      <c r="CD50" s="59">
        <f ca="1">AVERAGE(OFFSET($CC$3,0,0,'Données projet'!$E$12+1,1))-AVERAGE(OFFSET($H$3,0,0,'Données projet'!$E$12+1,1))</f>
        <v>119.62076457560073</v>
      </c>
      <c r="CE50" s="59">
        <f t="shared" si="40"/>
        <v>72.011647893875363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2.7846474258220857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2.7846474258220857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5.6</v>
      </c>
      <c r="CT50" s="12">
        <f>IF('Données projet'!$A$140&gt;35,CT49+CS50-DB49,IF(A50&lt;'Données projet'!$A$140,$CQ$205^A50,IF(A50='Données projet'!$A$140,'Données projet'!$B$140,CT49+CS50-DB49)))</f>
        <v>104.19999999999997</v>
      </c>
      <c r="CU50" s="17">
        <f>CT50*VLOOKUP('Données projet'!$B$13,Paramètres!$A$1:$I$89,3,0)*VLOOKUP('Données projet'!$B$13,Paramètres!$A$1:$I$89,5,0)</f>
        <v>112.16087999999998</v>
      </c>
      <c r="CV50" s="13">
        <f t="shared" si="41"/>
        <v>29.839526888181876</v>
      </c>
      <c r="CW50" s="20">
        <f t="shared" si="13"/>
        <v>247.31737533025003</v>
      </c>
      <c r="CX50" s="59">
        <f t="shared" si="14"/>
        <v>540.65070866358337</v>
      </c>
      <c r="CY50" s="59">
        <f ca="1">AVERAGE(OFFSET($CX$3,0,0,'Données projet'!$E$13+1,1))-AVERAGE(OFFSET($H$3,0,0,'Données projet'!$E$13+1,1))</f>
        <v>150.9416300233616</v>
      </c>
      <c r="CZ50" s="59">
        <f t="shared" si="42"/>
        <v>92.286636088269972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3.3127702134779979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3.3127702134779979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14.4</v>
      </c>
      <c r="DO50" s="12">
        <f>IF('Données projet'!$A$166&gt;35,DO49+DN50-DW49,IF(A50&lt;'Données projet'!$A$166,$DL$205^A50,IF(A50='Données projet'!$A$166,'Données projet'!$B$166,DO49+DN50-DW49)))</f>
        <v>315.79999999999978</v>
      </c>
      <c r="DP50" s="17">
        <f>DO50*VLOOKUP('Données projet'!$B$14,Paramètres!$A$1:$I$89,3,0)*VLOOKUP('Données projet'!$B$14,Paramètres!$A$1:$I$89,5,0)</f>
        <v>188.84839999999988</v>
      </c>
      <c r="DQ50" s="13">
        <f t="shared" si="43"/>
        <v>47.285260426836061</v>
      </c>
      <c r="DR50" s="20">
        <f t="shared" si="16"/>
        <v>411.26612524340595</v>
      </c>
      <c r="DS50" s="59">
        <f t="shared" si="17"/>
        <v>704.59945857673927</v>
      </c>
      <c r="DT50" s="59">
        <f ca="1">AVERAGE(OFFSET($DS$3,0,0,'Données projet'!$E$14+1,1))-AVERAGE(OFFSET($H$3,0,0,'Données projet'!$E$14+1,1))</f>
        <v>249.22792522076639</v>
      </c>
      <c r="DU50" s="59">
        <f t="shared" si="44"/>
        <v>244.53725944480669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26.614469518049201</v>
      </c>
      <c r="EB50" s="21">
        <f>EXP(-LN(2)/25)*EB49+(1-EXP(-LN(2)/25))/(LN(2)/25)*Calculateur!DW50*Calculateur!DY50*VLOOKUP('Données projet'!$B$14,Paramètres!$A$1:$I$89,3,0)*0.475*44/12</f>
        <v>19.115172756552706</v>
      </c>
      <c r="EC50" s="21">
        <f>EXP(-LN(2)/2)*EC49+(1-EXP(-LN(2)/2))/(LN(2)/2)*DW50*DZ50*VLOOKUP('Données projet'!$B$14,Paramètres!$A$1:$I$89,3,0)*0.475*44/12</f>
        <v>3.8217819376057256</v>
      </c>
      <c r="ED50" s="22">
        <f t="shared" si="18"/>
        <v>49.551424212207635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25</v>
      </c>
      <c r="EJ50" s="12">
        <f>IF('Données projet'!$A$192&gt;35,EJ49+EI50-ER49,IF(A50&lt;'Données projet'!$A$192,$EG$205^A50,IF(A50='Données projet'!$A$192,'Données projet'!$B$192,EJ49+EI50-ER49)))</f>
        <v>564.00000000000023</v>
      </c>
      <c r="EK50" s="17">
        <f>EJ50*VLOOKUP('Données projet'!$B$15,Paramètres!$A$1:$I$89,3,0)*VLOOKUP('Données projet'!$B$15,Paramètres!$A$1:$I$89,5,0)</f>
        <v>315.27600000000012</v>
      </c>
      <c r="EL50" s="13">
        <f t="shared" si="45"/>
        <v>74.36958441265493</v>
      </c>
      <c r="EM50" s="20">
        <f t="shared" si="19"/>
        <v>678.63272618537417</v>
      </c>
      <c r="EN50" s="59">
        <f t="shared" si="20"/>
        <v>971.96605951870743</v>
      </c>
      <c r="EO50" s="59">
        <f ca="1">AVERAGE(OFFSET($EN$3,0,0,'Données projet'!$E$15+1,1))-AVERAGE(OFFSET($H$3,0,0,'Données projet'!$E$15+1,1))</f>
        <v>313.36787814924116</v>
      </c>
      <c r="EP50" s="59">
        <f t="shared" si="46"/>
        <v>438.72984487610216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92.590345032807775</v>
      </c>
      <c r="EW50" s="21">
        <f>EXP(-LN(2)/25)*EW49+(1-EXP(-LN(2)/25))/(LN(2)/25)*Calculateur!ER50*Calculateur!ET50*VLOOKUP('Données projet'!$B$15,Paramètres!$A$1:$I$89,3,0)*0.475*44/12</f>
        <v>36.84930570540017</v>
      </c>
      <c r="EX50" s="21">
        <f>EXP(-LN(2)/2)*EX49+(1-EXP(-LN(2)/2))/(LN(2)/2)*ER50*EU50*VLOOKUP('Données projet'!$B$15,Paramètres!$A$1:$I$89,3,0)*0.475*44/12</f>
        <v>4.3259129761868929</v>
      </c>
      <c r="EY50" s="22">
        <f t="shared" si="21"/>
        <v>133.76556371439483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5.6</v>
      </c>
      <c r="N51" s="13">
        <f>IF('Données projet'!$A$36&gt;35,N50+M51-V50,IF(A51&lt;'Données projet'!$A$36,$K$205^A51,IF(A51='Données projet'!$A$36,'Données projet'!$B$36,N50+M51-V50)))</f>
        <v>109.79999999999997</v>
      </c>
      <c r="O51" s="13">
        <f>N51*VLOOKUP('Données projet'!$B$9,Paramètres!$A$1:$I$89,3,0)*VLOOKUP('Données projet'!$B$9,Paramètres!$A$1:$I$89,5,0)</f>
        <v>99.347039999999964</v>
      </c>
      <c r="P51" s="13">
        <f t="shared" si="33"/>
        <v>26.806379572460035</v>
      </c>
      <c r="Q51" s="20">
        <f t="shared" si="53"/>
        <v>219.71720575536781</v>
      </c>
      <c r="R51" s="59">
        <f t="shared" si="0"/>
        <v>513.05053908870116</v>
      </c>
      <c r="S51" s="59">
        <f ca="1">AVERAGE(OFFSET($R$3,0,0,'Données projet'!$E$9+1,1))-AVERAGE(OFFSET($H$3,0,0,'Données projet'!$E$9+1,1))</f>
        <v>173.91998182168385</v>
      </c>
      <c r="T51" s="59">
        <f t="shared" si="34"/>
        <v>72.011647893875363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2.1626365820426972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2.1626365820426972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5.6</v>
      </c>
      <c r="AI51" s="13">
        <f>IF('Données projet'!$A$62&gt;35,AI50+AH51-AQ50,IF(A51&lt;'Données projet'!$A$62,$AF$205^A51,IF(A51='Données projet'!$A$62,'Données projet'!$B$62,AI50+AH51-AQ50)))</f>
        <v>109.79999999999997</v>
      </c>
      <c r="AJ51" s="13">
        <f>AI51*VLOOKUP('Données projet'!$B$10,Paramètres!$A$1:$I$89,3,0)*VLOOKUP('Données projet'!$B$10,Paramètres!$A$1:$I$89,5,0)</f>
        <v>118.18871999999996</v>
      </c>
      <c r="AK51" s="13">
        <f t="shared" si="35"/>
        <v>31.252174766242543</v>
      </c>
      <c r="AL51" s="20">
        <f t="shared" si="4"/>
        <v>260.2762250512057</v>
      </c>
      <c r="AM51" s="59">
        <f t="shared" si="5"/>
        <v>553.60955838453901</v>
      </c>
      <c r="AN51" s="59">
        <f ca="1">AVERAGE(OFFSET($AM$3,0,0,'Données projet'!$E$10+1,1))-AVERAGE(OFFSET($H$3,0,0,'Données projet'!$E$10+1,1))</f>
        <v>150.9416300233616</v>
      </c>
      <c r="AO51" s="59">
        <f t="shared" si="36"/>
        <v>92.286636088269972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3.2478088101820077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3.2478088101820077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5.6</v>
      </c>
      <c r="BD51" s="12">
        <f>IF('Données projet'!$A$88&gt;35,BD50+BC51-BL50,IF(A51&lt;'Données projet'!$A$88,$BA$205^A51,IF(A51='Données projet'!$A$88,'Données projet'!$B$88,BD50+BC51-BL50)))</f>
        <v>109.79999999999997</v>
      </c>
      <c r="BE51" s="13">
        <f>BD51*VLOOKUP('Données projet'!$B$11,Paramètres!$A$1:$I$89,3,0)*VLOOKUP('Données projet'!$B$11,Paramètres!$A$1:$I$89,5,0)</f>
        <v>106.19855999999997</v>
      </c>
      <c r="BF51" s="13">
        <f t="shared" si="37"/>
        <v>28.433510633203252</v>
      </c>
      <c r="BG51" s="20">
        <f t="shared" si="7"/>
        <v>234.48418968616227</v>
      </c>
      <c r="BH51" s="59">
        <f t="shared" si="8"/>
        <v>527.81752301949564</v>
      </c>
      <c r="BI51" s="59">
        <f ca="1">AVERAGE(OFFSET($BH$3,0,0,'Données projet'!$E$11+1,1))-AVERAGE(OFFSET($H$3,0,0,'Données projet'!$E$11+1,1))</f>
        <v>131.02416800340484</v>
      </c>
      <c r="BJ51" s="59">
        <f t="shared" si="38"/>
        <v>79.394119001888555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2.9183209598736894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2.9183209598736894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5.6</v>
      </c>
      <c r="BY51" s="12">
        <f>IF('Données projet'!$A$114&gt;35,BY50+BX51-CG50,IF(A51&lt;'Données projet'!$A$114,$BV$205^A51,IF(A51='Données projet'!$A$114,'Données projet'!$B$114,BY50+BX51-CG50)))</f>
        <v>109.79999999999997</v>
      </c>
      <c r="BZ51" s="13">
        <f>BY51*VLOOKUP('Données projet'!$B$12,Paramètres!$A$1:$I$89,3,0)*VLOOKUP('Données projet'!$B$12,Paramètres!$A$1:$I$89,5,0)</f>
        <v>99.347039999999964</v>
      </c>
      <c r="CA51" s="13">
        <f t="shared" si="39"/>
        <v>26.806379572460035</v>
      </c>
      <c r="CB51" s="20">
        <f t="shared" si="10"/>
        <v>219.71720575536781</v>
      </c>
      <c r="CC51" s="59">
        <f t="shared" si="11"/>
        <v>513.05053908870116</v>
      </c>
      <c r="CD51" s="59">
        <f ca="1">AVERAGE(OFFSET($CC$3,0,0,'Données projet'!$E$12+1,1))-AVERAGE(OFFSET($H$3,0,0,'Données projet'!$E$12+1,1))</f>
        <v>119.62076457560073</v>
      </c>
      <c r="CE51" s="59">
        <f t="shared" si="40"/>
        <v>72.011647893875363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2.7300421882689347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2.7300421882689347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5.6</v>
      </c>
      <c r="CT51" s="12">
        <f>IF('Données projet'!$A$140&gt;35,CT50+CS51-DB50,IF(A51&lt;'Données projet'!$A$140,$CQ$205^A51,IF(A51='Données projet'!$A$140,'Données projet'!$B$140,CT50+CS51-DB50)))</f>
        <v>109.79999999999997</v>
      </c>
      <c r="CU51" s="17">
        <f>CT51*VLOOKUP('Données projet'!$B$13,Paramètres!$A$1:$I$89,3,0)*VLOOKUP('Données projet'!$B$13,Paramètres!$A$1:$I$89,5,0)</f>
        <v>118.18871999999996</v>
      </c>
      <c r="CV51" s="13">
        <f t="shared" si="41"/>
        <v>31.252174766242543</v>
      </c>
      <c r="CW51" s="20">
        <f t="shared" si="13"/>
        <v>260.2762250512057</v>
      </c>
      <c r="CX51" s="59">
        <f t="shared" si="14"/>
        <v>553.60955838453901</v>
      </c>
      <c r="CY51" s="59">
        <f ca="1">AVERAGE(OFFSET($CX$3,0,0,'Données projet'!$E$13+1,1))-AVERAGE(OFFSET($H$3,0,0,'Données projet'!$E$13+1,1))</f>
        <v>150.9416300233616</v>
      </c>
      <c r="CZ51" s="59">
        <f t="shared" si="42"/>
        <v>92.286636088269972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3.2478088101820077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3.2478088101820077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14.4</v>
      </c>
      <c r="DO51" s="12">
        <f>IF('Données projet'!$A$166&gt;35,DO50+DN51-DW50,IF(A51&lt;'Données projet'!$A$166,$DL$205^A51,IF(A51='Données projet'!$A$166,'Données projet'!$B$166,DO50+DN51-DW50)))</f>
        <v>330.19999999999976</v>
      </c>
      <c r="DP51" s="17">
        <f>DO51*VLOOKUP('Données projet'!$B$14,Paramètres!$A$1:$I$89,3,0)*VLOOKUP('Données projet'!$B$14,Paramètres!$A$1:$I$89,5,0)</f>
        <v>197.45959999999988</v>
      </c>
      <c r="DQ51" s="13">
        <f t="shared" si="43"/>
        <v>49.18545000243541</v>
      </c>
      <c r="DR51" s="20">
        <f t="shared" si="16"/>
        <v>429.5734620875748</v>
      </c>
      <c r="DS51" s="59">
        <f t="shared" si="17"/>
        <v>722.90679542090811</v>
      </c>
      <c r="DT51" s="59">
        <f ca="1">AVERAGE(OFFSET($DS$3,0,0,'Données projet'!$E$14+1,1))-AVERAGE(OFFSET($H$3,0,0,'Données projet'!$E$14+1,1))</f>
        <v>249.22792522076639</v>
      </c>
      <c r="DU51" s="59">
        <f t="shared" si="44"/>
        <v>244.53725944480669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26.092576004023766</v>
      </c>
      <c r="EB51" s="21">
        <f>EXP(-LN(2)/25)*EB50+(1-EXP(-LN(2)/25))/(LN(2)/25)*Calculateur!DW51*Calculateur!DY51*VLOOKUP('Données projet'!$B$14,Paramètres!$A$1:$I$89,3,0)*0.475*44/12</f>
        <v>18.592467352301526</v>
      </c>
      <c r="EC51" s="21">
        <f>EXP(-LN(2)/2)*EC50+(1-EXP(-LN(2)/2))/(LN(2)/2)*DW51*DZ51*VLOOKUP('Données projet'!$B$14,Paramètres!$A$1:$I$89,3,0)*0.475*44/12</f>
        <v>2.7024079242972716</v>
      </c>
      <c r="ED51" s="22">
        <f t="shared" si="18"/>
        <v>47.387451280622564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25</v>
      </c>
      <c r="EJ51" s="12">
        <f>IF('Données projet'!$A$192&gt;35,EJ50+EI51-ER50,IF(A51&lt;'Données projet'!$A$192,$EG$205^A51,IF(A51='Données projet'!$A$192,'Données projet'!$B$192,EJ50+EI51-ER50)))</f>
        <v>589.00000000000023</v>
      </c>
      <c r="EK51" s="17">
        <f>EJ51*VLOOKUP('Données projet'!$B$15,Paramètres!$A$1:$I$89,3,0)*VLOOKUP('Données projet'!$B$15,Paramètres!$A$1:$I$89,5,0)</f>
        <v>329.25100000000015</v>
      </c>
      <c r="EL51" s="13">
        <f t="shared" si="45"/>
        <v>77.274999832127122</v>
      </c>
      <c r="EM51" s="20">
        <f t="shared" si="19"/>
        <v>708.032783040955</v>
      </c>
      <c r="EN51" s="59">
        <f t="shared" si="20"/>
        <v>1001.3661163742884</v>
      </c>
      <c r="EO51" s="59">
        <f ca="1">AVERAGE(OFFSET($EN$3,0,0,'Données projet'!$E$15+1,1))-AVERAGE(OFFSET($H$3,0,0,'Données projet'!$E$15+1,1))</f>
        <v>313.36787814924116</v>
      </c>
      <c r="EP51" s="59">
        <f t="shared" si="46"/>
        <v>438.72984487610216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90.774704841248493</v>
      </c>
      <c r="EW51" s="21">
        <f>EXP(-LN(2)/25)*EW50+(1-EXP(-LN(2)/25))/(LN(2)/25)*Calculateur!ER51*Calculateur!ET51*VLOOKUP('Données projet'!$B$15,Paramètres!$A$1:$I$89,3,0)*0.475*44/12</f>
        <v>35.841659503065237</v>
      </c>
      <c r="EX51" s="21">
        <f>EXP(-LN(2)/2)*EX50+(1-EXP(-LN(2)/2))/(LN(2)/2)*ER51*EU51*VLOOKUP('Données projet'!$B$15,Paramètres!$A$1:$I$89,3,0)*0.475*44/12</f>
        <v>3.0588824002846322</v>
      </c>
      <c r="EY51" s="22">
        <f t="shared" si="21"/>
        <v>129.67524674459835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5.6</v>
      </c>
      <c r="N52" s="13">
        <f>IF('Données projet'!$A$36&gt;35,N51+M52-V51,IF(A52&lt;'Données projet'!$A$36,$K$205^A52,IF(A52='Données projet'!$A$36,'Données projet'!$B$36,N51+M52-V51)))</f>
        <v>115.39999999999996</v>
      </c>
      <c r="O52" s="13">
        <f>N52*VLOOKUP('Données projet'!$B$9,Paramètres!$A$1:$I$89,3,0)*VLOOKUP('Données projet'!$B$9,Paramètres!$A$1:$I$89,5,0)</f>
        <v>104.41391999999996</v>
      </c>
      <c r="P52" s="13">
        <f t="shared" si="33"/>
        <v>28.010895142032854</v>
      </c>
      <c r="Q52" s="20">
        <f t="shared" si="53"/>
        <v>230.63988637237381</v>
      </c>
      <c r="R52" s="59">
        <f t="shared" si="0"/>
        <v>523.97321970570715</v>
      </c>
      <c r="S52" s="59">
        <f ca="1">AVERAGE(OFFSET($R$3,0,0,'Données projet'!$E$9+1,1))-AVERAGE(OFFSET($H$3,0,0,'Données projet'!$E$9+1,1))</f>
        <v>173.91998182168385</v>
      </c>
      <c r="T52" s="59">
        <f t="shared" si="34"/>
        <v>72.011647893875363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2.1202285977469066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2.1202285977469066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5.6</v>
      </c>
      <c r="AI52" s="13">
        <f>IF('Données projet'!$A$62&gt;35,AI51+AH52-AQ51,IF(A52&lt;'Données projet'!$A$62,$AF$205^A52,IF(A52='Données projet'!$A$62,'Données projet'!$B$62,AI51+AH52-AQ51)))</f>
        <v>115.39999999999996</v>
      </c>
      <c r="AJ52" s="13">
        <f>AI52*VLOOKUP('Données projet'!$B$10,Paramètres!$A$1:$I$89,3,0)*VLOOKUP('Données projet'!$B$10,Paramètres!$A$1:$I$89,5,0)</f>
        <v>124.21655999999994</v>
      </c>
      <c r="AK52" s="13">
        <f t="shared" si="35"/>
        <v>32.656457317237347</v>
      </c>
      <c r="AL52" s="20">
        <f t="shared" si="4"/>
        <v>273.220505160855</v>
      </c>
      <c r="AM52" s="59">
        <f t="shared" si="5"/>
        <v>566.55383849418831</v>
      </c>
      <c r="AN52" s="59">
        <f ca="1">AVERAGE(OFFSET($AM$3,0,0,'Données projet'!$E$10+1,1))-AVERAGE(OFFSET($H$3,0,0,'Données projet'!$E$10+1,1))</f>
        <v>150.9416300233616</v>
      </c>
      <c r="AO52" s="59">
        <f t="shared" si="36"/>
        <v>92.286636088269972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3.1841212603821085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3.1841212603821085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5.6</v>
      </c>
      <c r="BD52" s="12">
        <f>IF('Données projet'!$A$88&gt;35,BD51+BC52-BL51,IF(A52&lt;'Données projet'!$A$88,$BA$205^A52,IF(A52='Données projet'!$A$88,'Données projet'!$B$88,BD51+BC52-BL51)))</f>
        <v>115.39999999999996</v>
      </c>
      <c r="BE52" s="13">
        <f>BD52*VLOOKUP('Données projet'!$B$11,Paramètres!$A$1:$I$89,3,0)*VLOOKUP('Données projet'!$B$11,Paramètres!$A$1:$I$89,5,0)</f>
        <v>111.61487999999996</v>
      </c>
      <c r="BF52" s="13">
        <f t="shared" si="37"/>
        <v>29.711139570849625</v>
      </c>
      <c r="BG52" s="20">
        <f t="shared" si="7"/>
        <v>246.14281741922969</v>
      </c>
      <c r="BH52" s="59">
        <f t="shared" si="8"/>
        <v>539.47615075256294</v>
      </c>
      <c r="BI52" s="59">
        <f ca="1">AVERAGE(OFFSET($BH$3,0,0,'Données projet'!$E$11+1,1))-AVERAGE(OFFSET($H$3,0,0,'Données projet'!$E$11+1,1))</f>
        <v>131.02416800340484</v>
      </c>
      <c r="BJ52" s="59">
        <f t="shared" si="38"/>
        <v>79.394119001888555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2.8610944658505915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2.8610944658505915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5.6</v>
      </c>
      <c r="BY52" s="12">
        <f>IF('Données projet'!$A$114&gt;35,BY51+BX52-CG51,IF(A52&lt;'Données projet'!$A$114,$BV$205^A52,IF(A52='Données projet'!$A$114,'Données projet'!$B$114,BY51+BX52-CG51)))</f>
        <v>115.39999999999996</v>
      </c>
      <c r="BZ52" s="13">
        <f>BY52*VLOOKUP('Données projet'!$B$12,Paramètres!$A$1:$I$89,3,0)*VLOOKUP('Données projet'!$B$12,Paramètres!$A$1:$I$89,5,0)</f>
        <v>104.41391999999996</v>
      </c>
      <c r="CA52" s="13">
        <f t="shared" si="39"/>
        <v>28.010895142032854</v>
      </c>
      <c r="CB52" s="20">
        <f t="shared" si="10"/>
        <v>230.63988637237381</v>
      </c>
      <c r="CC52" s="59">
        <f t="shared" si="11"/>
        <v>523.97321970570715</v>
      </c>
      <c r="CD52" s="59">
        <f ca="1">AVERAGE(OFFSET($CC$3,0,0,'Données projet'!$E$12+1,1))-AVERAGE(OFFSET($H$3,0,0,'Données projet'!$E$12+1,1))</f>
        <v>119.62076457560073</v>
      </c>
      <c r="CE52" s="59">
        <f t="shared" si="40"/>
        <v>72.011647893875363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2.6765077261182948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2.6765077261182948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5.6</v>
      </c>
      <c r="CT52" s="12">
        <f>IF('Données projet'!$A$140&gt;35,CT51+CS52-DB51,IF(A52&lt;'Données projet'!$A$140,$CQ$205^A52,IF(A52='Données projet'!$A$140,'Données projet'!$B$140,CT51+CS52-DB51)))</f>
        <v>115.39999999999996</v>
      </c>
      <c r="CU52" s="17">
        <f>CT52*VLOOKUP('Données projet'!$B$13,Paramètres!$A$1:$I$89,3,0)*VLOOKUP('Données projet'!$B$13,Paramètres!$A$1:$I$89,5,0)</f>
        <v>124.21655999999994</v>
      </c>
      <c r="CV52" s="13">
        <f t="shared" si="41"/>
        <v>32.656457317237347</v>
      </c>
      <c r="CW52" s="20">
        <f t="shared" si="13"/>
        <v>273.220505160855</v>
      </c>
      <c r="CX52" s="59">
        <f t="shared" si="14"/>
        <v>566.55383849418831</v>
      </c>
      <c r="CY52" s="59">
        <f ca="1">AVERAGE(OFFSET($CX$3,0,0,'Données projet'!$E$13+1,1))-AVERAGE(OFFSET($H$3,0,0,'Données projet'!$E$13+1,1))</f>
        <v>150.9416300233616</v>
      </c>
      <c r="CZ52" s="59">
        <f t="shared" si="42"/>
        <v>92.286636088269972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3.1841212603821085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3.1841212603821085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14.4</v>
      </c>
      <c r="DO52" s="12">
        <f>IF('Données projet'!$A$166&gt;35,DO51+DN52-DW51,IF(A52&lt;'Données projet'!$A$166,$DL$205^A52,IF(A52='Données projet'!$A$166,'Données projet'!$B$166,DO51+DN52-DW51)))</f>
        <v>344.59999999999974</v>
      </c>
      <c r="DP52" s="17">
        <f>DO52*VLOOKUP('Données projet'!$B$14,Paramètres!$A$1:$I$89,3,0)*VLOOKUP('Données projet'!$B$14,Paramètres!$A$1:$I$89,5,0)</f>
        <v>206.07079999999985</v>
      </c>
      <c r="DQ52" s="13">
        <f t="shared" si="43"/>
        <v>51.076015061754525</v>
      </c>
      <c r="DR52" s="20">
        <f t="shared" si="16"/>
        <v>447.86403623255546</v>
      </c>
      <c r="DS52" s="59">
        <f t="shared" si="17"/>
        <v>741.19736956588872</v>
      </c>
      <c r="DT52" s="59">
        <f ca="1">AVERAGE(OFFSET($DS$3,0,0,'Données projet'!$E$14+1,1))-AVERAGE(OFFSET($H$3,0,0,'Données projet'!$E$14+1,1))</f>
        <v>249.22792522076639</v>
      </c>
      <c r="DU52" s="59">
        <f t="shared" si="44"/>
        <v>244.53725944480669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25.580916503484755</v>
      </c>
      <c r="EB52" s="21">
        <f>EXP(-LN(2)/25)*EB51+(1-EXP(-LN(2)/25))/(LN(2)/25)*Calculateur!DW52*Calculateur!DY52*VLOOKUP('Données projet'!$B$14,Paramètres!$A$1:$I$89,3,0)*0.475*44/12</f>
        <v>18.084055354817476</v>
      </c>
      <c r="EC52" s="21">
        <f>EXP(-LN(2)/2)*EC51+(1-EXP(-LN(2)/2))/(LN(2)/2)*DW52*DZ52*VLOOKUP('Données projet'!$B$14,Paramètres!$A$1:$I$89,3,0)*0.475*44/12</f>
        <v>1.910890968802863</v>
      </c>
      <c r="ED52" s="22">
        <f t="shared" si="18"/>
        <v>45.575862827105091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25</v>
      </c>
      <c r="EJ52" s="12">
        <f>IF('Données projet'!$A$192&gt;35,EJ51+EI52-ER51,IF(A52&lt;'Données projet'!$A$192,$EG$205^A52,IF(A52='Données projet'!$A$192,'Données projet'!$B$192,EJ51+EI52-ER51)))</f>
        <v>614.00000000000023</v>
      </c>
      <c r="EK52" s="17">
        <f>EJ52*VLOOKUP('Données projet'!$B$15,Paramètres!$A$1:$I$89,3,0)*VLOOKUP('Données projet'!$B$15,Paramètres!$A$1:$I$89,5,0)</f>
        <v>343.22600000000011</v>
      </c>
      <c r="EL52" s="13">
        <f t="shared" si="45"/>
        <v>80.166091681676448</v>
      </c>
      <c r="EM52" s="20">
        <f t="shared" si="19"/>
        <v>737.40789301225323</v>
      </c>
      <c r="EN52" s="59">
        <f t="shared" si="20"/>
        <v>1030.7412263455865</v>
      </c>
      <c r="EO52" s="59">
        <f ca="1">AVERAGE(OFFSET($EN$3,0,0,'Données projet'!$E$15+1,1))-AVERAGE(OFFSET($H$3,0,0,'Données projet'!$E$15+1,1))</f>
        <v>313.36787814924116</v>
      </c>
      <c r="EP52" s="59">
        <f t="shared" si="46"/>
        <v>438.72984487610216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88.99466824641452</v>
      </c>
      <c r="EW52" s="21">
        <f>EXP(-LN(2)/25)*EW51+(1-EXP(-LN(2)/25))/(LN(2)/25)*Calculateur!ER52*Calculateur!ET52*VLOOKUP('Données projet'!$B$15,Paramètres!$A$1:$I$89,3,0)*0.475*44/12</f>
        <v>34.861567439122965</v>
      </c>
      <c r="EX52" s="21">
        <f>EXP(-LN(2)/2)*EX51+(1-EXP(-LN(2)/2))/(LN(2)/2)*ER52*EU52*VLOOKUP('Données projet'!$B$15,Paramètres!$A$1:$I$89,3,0)*0.475*44/12</f>
        <v>2.1629564880934469</v>
      </c>
      <c r="EY52" s="22">
        <f t="shared" si="21"/>
        <v>126.01919217363093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121</v>
      </c>
      <c r="L53" s="12">
        <f>VLOOKUP(A53,'Données projet'!$A$35:$I$55,9,0)</f>
        <v>5.6</v>
      </c>
      <c r="M53" s="12">
        <f t="array" ref="M53">INDEX(L:L,MIN(IF(ISNUMBER(L53:L249),ROW(L53:L249),"")))</f>
        <v>5.6</v>
      </c>
      <c r="N53" s="13">
        <f>IF('Données projet'!$A$36&gt;35,N52+M53-V52,IF(A53&lt;'Données projet'!$A$36,$K$205^A53,IF(A53='Données projet'!$A$36,'Données projet'!$B$36,N52+M53-V52)))</f>
        <v>120.99999999999996</v>
      </c>
      <c r="O53" s="13">
        <f>N53*VLOOKUP('Données projet'!$B$9,Paramètres!$A$1:$I$89,3,0)*VLOOKUP('Données projet'!$B$9,Paramètres!$A$1:$I$89,5,0)</f>
        <v>109.48079999999995</v>
      </c>
      <c r="P53" s="13">
        <f t="shared" si="33"/>
        <v>29.208623339903898</v>
      </c>
      <c r="Q53" s="20">
        <f t="shared" si="53"/>
        <v>241.55074565033252</v>
      </c>
      <c r="R53" s="59">
        <f t="shared" si="0"/>
        <v>534.88407898366586</v>
      </c>
      <c r="S53" s="59">
        <f ca="1">AVERAGE(OFFSET($R$3,0,0,'Données projet'!$E$9+1,1))-AVERAGE(OFFSET($H$3,0,0,'Données projet'!$E$9+1,1))</f>
        <v>173.91998182168385</v>
      </c>
      <c r="T53" s="59">
        <f t="shared" si="34"/>
        <v>72.011647893875363</v>
      </c>
      <c r="U53" s="15">
        <f>IF(ISNA(VLOOKUP(A53,'Données projet'!$A$35:$I$55,3,0)),0,VLOOKUP(A53,'Données projet'!$A$35:$I$55,3,0))</f>
        <v>6</v>
      </c>
      <c r="V53" s="15">
        <f>IF(ISNA(VLOOKUP(A53,'Données projet'!$A$35:$I$55,4,0)),0,VLOOKUP(A53,'Données projet'!$A$35:$I$55,4,0))</f>
        <v>14</v>
      </c>
      <c r="W53" s="16">
        <f>IF(ISNA(VLOOKUP(A53,'Données projet'!$A$35:$I$55,5,0)),0%,VLOOKUP(A53,'Données projet'!$A$35:$I$55,5,0)*VLOOKUP('Données projet'!$B$9,Paramètres!$A$1:$I$89,7,0))</f>
        <v>8.6000000000000007E-2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3.282928645836142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3.282928645836142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121</v>
      </c>
      <c r="AG53" s="12">
        <f>VLOOKUP(A53,'Données projet'!$A$61:$I$81,9,0)</f>
        <v>5.6</v>
      </c>
      <c r="AH53" s="12">
        <f t="array" ref="AH53">INDEX(AG:AG,MIN(IF(ISNUMBER(AG53:AG249),ROW(AG53:AG249),"")))</f>
        <v>5.6</v>
      </c>
      <c r="AI53" s="13">
        <f>IF('Données projet'!$A$62&gt;35,AI52+AH53-AQ52,IF(A53&lt;'Données projet'!$A$62,$AF$205^A53,IF(A53='Données projet'!$A$62,'Données projet'!$B$62,AI52+AH53-AQ52)))</f>
        <v>120.99999999999996</v>
      </c>
      <c r="AJ53" s="13">
        <f>AI53*VLOOKUP('Données projet'!$B$10,Paramètres!$A$1:$I$89,3,0)*VLOOKUP('Données projet'!$B$10,Paramètres!$A$1:$I$89,5,0)</f>
        <v>130.24439999999996</v>
      </c>
      <c r="AK53" s="13">
        <f t="shared" si="35"/>
        <v>34.052826821785409</v>
      </c>
      <c r="AL53" s="20">
        <f t="shared" si="4"/>
        <v>286.1510033812761</v>
      </c>
      <c r="AM53" s="59">
        <f t="shared" si="5"/>
        <v>579.48433671460941</v>
      </c>
      <c r="AN53" s="59">
        <f ca="1">AVERAGE(OFFSET($AM$3,0,0,'Données projet'!$E$10+1,1))-AVERAGE(OFFSET($H$3,0,0,'Données projet'!$E$10+1,1))</f>
        <v>150.9416300233616</v>
      </c>
      <c r="AO53" s="59">
        <f t="shared" si="36"/>
        <v>92.286636088269972</v>
      </c>
      <c r="AP53" s="15">
        <f>IF(ISNA(VLOOKUP(A53,'Données projet'!$A$61:$I$81,3,0)),0,VLOOKUP(A53,'Données projet'!$A$61:$I$81,3,0))</f>
        <v>6</v>
      </c>
      <c r="AQ53" s="15">
        <f>IF(ISNA(VLOOKUP(A53,'Données projet'!$A$61:$I$81,4,0)),0,VLOOKUP(A53,'Données projet'!$A$61:$I$81,4,0))</f>
        <v>14</v>
      </c>
      <c r="AR53" s="16">
        <f>IF(ISNA(VLOOKUP(A53,'Données projet'!$A$61:$I$81,5,0)),0%,VLOOKUP(A53,'Données projet'!$A$61:$I$81,5,0)*VLOOKUP('Données projet'!$B$10,Paramètres!$A$1:$I$89,7,0))</f>
        <v>0.17200000000000001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5.987029970790692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5.987029970790692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121</v>
      </c>
      <c r="BB53" s="12">
        <f>VLOOKUP(A53,'Données projet'!$A$87:$I$107,9,0)</f>
        <v>5.6</v>
      </c>
      <c r="BC53" s="12">
        <f t="array" ref="BC53">INDEX(BB:BB,MIN(IF(ISNUMBER(BB53:BB249),ROW(BB53:BB249),"")))</f>
        <v>5.6</v>
      </c>
      <c r="BD53" s="12">
        <f>IF('Données projet'!$A$88&gt;35,BD52+BC53-BL52,IF(A53&lt;'Données projet'!$A$88,$BA$205^A53,IF(A53='Données projet'!$A$88,'Données projet'!$B$88,BD52+BC53-BL52)))</f>
        <v>120.99999999999996</v>
      </c>
      <c r="BE53" s="13">
        <f>BD53*VLOOKUP('Données projet'!$B$11,Paramètres!$A$1:$I$89,3,0)*VLOOKUP('Données projet'!$B$11,Paramètres!$A$1:$I$89,5,0)</f>
        <v>117.03119999999996</v>
      </c>
      <c r="BF53" s="13">
        <f t="shared" si="37"/>
        <v>30.981569147428527</v>
      </c>
      <c r="BG53" s="20">
        <f t="shared" si="7"/>
        <v>257.78890626510457</v>
      </c>
      <c r="BH53" s="59">
        <f t="shared" si="8"/>
        <v>551.12223959843789</v>
      </c>
      <c r="BI53" s="59">
        <f ca="1">AVERAGE(OFFSET($BH$3,0,0,'Données projet'!$E$11+1,1))-AVERAGE(OFFSET($H$3,0,0,'Données projet'!$E$11+1,1))</f>
        <v>131.02416800340484</v>
      </c>
      <c r="BJ53" s="59">
        <f t="shared" si="38"/>
        <v>79.394119001888555</v>
      </c>
      <c r="BK53" s="15">
        <f>IF(ISNA(VLOOKUP(A53,'Données projet'!$A$87:$I$107,3,0)),0,VLOOKUP(A53,'Données projet'!$A$87:$I$107,3,0))</f>
        <v>6</v>
      </c>
      <c r="BL53" s="15">
        <f>IF(ISNA(VLOOKUP(A53,'Données projet'!$A$87:$I$107,4,0)),0,VLOOKUP(A53,'Données projet'!$A$87:$I$107,4,0))</f>
        <v>14</v>
      </c>
      <c r="BM53" s="16">
        <f>IF(ISNA(VLOOKUP(A53,'Données projet'!$A$87:$I$107,5,0)),0%,VLOOKUP(A53,'Données projet'!$A$87:$I$107,5,0)*VLOOKUP('Données projet'!$B$11,Paramètres!$A$1:$I$89,7,0))</f>
        <v>0.17200000000000001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5.379650118681492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5.379650118681492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121</v>
      </c>
      <c r="BW53" s="12">
        <f>VLOOKUP(A53,'Données projet'!$A$113:$I$133,9,0)</f>
        <v>5.6</v>
      </c>
      <c r="BX53" s="12">
        <f t="array" ref="BX53">INDEX(BW:BW,MIN(IF(ISNUMBER(BW53:BW249),ROW(BW53:BW249),"")))</f>
        <v>5.6</v>
      </c>
      <c r="BY53" s="12">
        <f>IF('Données projet'!$A$114&gt;35,BY52+BX53-CG52,IF(A53&lt;'Données projet'!$A$114,$BV$205^A53,IF(A53='Données projet'!$A$114,'Données projet'!$B$114,BY52+BX53-CG52)))</f>
        <v>120.99999999999996</v>
      </c>
      <c r="BZ53" s="13">
        <f>BY53*VLOOKUP('Données projet'!$B$12,Paramètres!$A$1:$I$89,3,0)*VLOOKUP('Données projet'!$B$12,Paramètres!$A$1:$I$89,5,0)</f>
        <v>109.48079999999995</v>
      </c>
      <c r="CA53" s="13">
        <f t="shared" si="39"/>
        <v>29.208623339903898</v>
      </c>
      <c r="CB53" s="20">
        <f t="shared" si="10"/>
        <v>241.55074565033252</v>
      </c>
      <c r="CC53" s="59">
        <f t="shared" si="11"/>
        <v>534.88407898366586</v>
      </c>
      <c r="CD53" s="59">
        <f ca="1">AVERAGE(OFFSET($CC$3,0,0,'Données projet'!$E$12+1,1))-AVERAGE(OFFSET($H$3,0,0,'Données projet'!$E$12+1,1))</f>
        <v>119.62076457560073</v>
      </c>
      <c r="CE53" s="59">
        <f t="shared" si="40"/>
        <v>72.011647893875363</v>
      </c>
      <c r="CF53" s="15">
        <f>IF(ISNA(VLOOKUP(A53,'Données projet'!$A$113:$I$133,3,0)),0,VLOOKUP(A53,'Données projet'!$A$113:$I$133,3,0))</f>
        <v>6</v>
      </c>
      <c r="CG53" s="15">
        <f>IF(ISNA(VLOOKUP(A53,'Données projet'!$A$113:$I$133,4,0)),0,VLOOKUP(A53,'Données projet'!$A$113:$I$133,4,0))</f>
        <v>14</v>
      </c>
      <c r="CH53" s="16">
        <f>IF(ISNA(VLOOKUP(A53,'Données projet'!$A$113:$I$133,5,0)),0%,VLOOKUP(A53,'Données projet'!$A$113:$I$133,5,0)*VLOOKUP('Données projet'!$B$12,Paramètres!$A$1:$I$89,7,0))</f>
        <v>0.17200000000000001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5.0325759174762341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5.0325759174762341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121</v>
      </c>
      <c r="CR53" s="12">
        <f>VLOOKUP(A53,'Données projet'!$A$139:$I$159,9,0)</f>
        <v>5.6</v>
      </c>
      <c r="CS53" s="12">
        <f t="array" ref="CS53">INDEX(CR:CR,MIN(IF(ISNUMBER(CR53:CR249),ROW(CR53:CR249),"")))</f>
        <v>5.6</v>
      </c>
      <c r="CT53" s="12">
        <f>IF('Données projet'!$A$140&gt;35,CT52+CS53-DB52,IF(A53&lt;'Données projet'!$A$140,$CQ$205^A53,IF(A53='Données projet'!$A$140,'Données projet'!$B$140,CT52+CS53-DB52)))</f>
        <v>120.99999999999996</v>
      </c>
      <c r="CU53" s="17">
        <f>CT53*VLOOKUP('Données projet'!$B$13,Paramètres!$A$1:$I$89,3,0)*VLOOKUP('Données projet'!$B$13,Paramètres!$A$1:$I$89,5,0)</f>
        <v>130.24439999999996</v>
      </c>
      <c r="CV53" s="13">
        <f t="shared" si="41"/>
        <v>34.052826821785409</v>
      </c>
      <c r="CW53" s="20">
        <f t="shared" si="13"/>
        <v>286.1510033812761</v>
      </c>
      <c r="CX53" s="59">
        <f t="shared" si="14"/>
        <v>579.48433671460941</v>
      </c>
      <c r="CY53" s="59">
        <f ca="1">AVERAGE(OFFSET($CX$3,0,0,'Données projet'!$E$13+1,1))-AVERAGE(OFFSET($H$3,0,0,'Données projet'!$E$13+1,1))</f>
        <v>150.9416300233616</v>
      </c>
      <c r="CZ53" s="59">
        <f t="shared" si="42"/>
        <v>92.286636088269972</v>
      </c>
      <c r="DA53" s="15">
        <f>IF(ISNA(VLOOKUP(A53,'Données projet'!$A$139:$I$159,3,0)),0,VLOOKUP(A53,'Données projet'!$A$139:$I$159,3,0))</f>
        <v>6</v>
      </c>
      <c r="DB53" s="15">
        <f>IF(ISNA(VLOOKUP(A53,'Données projet'!$A$139:$I$159,4,0)),0,VLOOKUP(A53,'Données projet'!$A$139:$I$159,4,0))</f>
        <v>14</v>
      </c>
      <c r="DC53" s="16">
        <f>IF(ISNA(VLOOKUP(A53,'Données projet'!$A$139:$I$159,5,0)),0%,VLOOKUP(A53,'Données projet'!$A$139:$I$159,5,0)*VLOOKUP('Données projet'!$B$13,Paramètres!$A$1:$I$89,7,0))</f>
        <v>0.17200000000000001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5.987029970790692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5.987029970790692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359</v>
      </c>
      <c r="DM53" s="12">
        <f>VLOOKUP(A53,'Données projet'!$A$165:$I$185,9,0)</f>
        <v>14.4</v>
      </c>
      <c r="DN53" s="12">
        <f t="array" ref="DN53">INDEX(DM:DM,MIN(IF(ISNUMBER(DM53:DM249),ROW(DM53:DM249),"")))</f>
        <v>14.4</v>
      </c>
      <c r="DO53" s="12">
        <f>IF('Données projet'!$A$166&gt;35,DO52+DN53-DW52,IF(A53&lt;'Données projet'!$A$166,$DL$205^A53,IF(A53='Données projet'!$A$166,'Données projet'!$B$166,DO52+DN53-DW52)))</f>
        <v>358.99999999999972</v>
      </c>
      <c r="DP53" s="17">
        <f>DO53*VLOOKUP('Données projet'!$B$14,Paramètres!$A$1:$I$89,3,0)*VLOOKUP('Données projet'!$B$14,Paramètres!$A$1:$I$89,5,0)</f>
        <v>214.68199999999985</v>
      </c>
      <c r="DQ53" s="13">
        <f t="shared" si="43"/>
        <v>52.957403780225071</v>
      </c>
      <c r="DR53" s="20">
        <f t="shared" si="16"/>
        <v>466.13862825055838</v>
      </c>
      <c r="DS53" s="59">
        <f t="shared" si="17"/>
        <v>759.4719615838917</v>
      </c>
      <c r="DT53" s="59">
        <f ca="1">AVERAGE(OFFSET($DS$3,0,0,'Données projet'!$E$14+1,1))-AVERAGE(OFFSET($H$3,0,0,'Données projet'!$E$14+1,1))</f>
        <v>249.22792522076639</v>
      </c>
      <c r="DU53" s="59">
        <f t="shared" si="44"/>
        <v>244.53725944480669</v>
      </c>
      <c r="DV53" s="15">
        <f>IF(ISNA(VLOOKUP(A53,'Données projet'!$A$165:$I$185,3,0)),0,VLOOKUP(A53,'Données projet'!$A$165:$I$185,3,0))</f>
        <v>8</v>
      </c>
      <c r="DW53" s="15">
        <f>IF(ISNA(VLOOKUP(A53,'Données projet'!$A$165:$I$185,4,0)),0,VLOOKUP(A53,'Données projet'!$A$165:$I$185,4,0))</f>
        <v>40</v>
      </c>
      <c r="DX53" s="16">
        <f>IF(ISNA(VLOOKUP(A53,'Données projet'!$A$165:$I$185,5,0)),0%,VLOOKUP(A53,'Données projet'!$A$165:$I$185,5,0)*VLOOKUP('Données projet'!$B$14,Paramètres!$A$1:$I$89,7,0))</f>
        <v>0.27</v>
      </c>
      <c r="DY53" s="16">
        <f>IF(ISNA(VLOOKUP(A53,'Données projet'!$A$165:$I$185,6,0)),0%,VLOOKUP(A53,'Données projet'!$A$165:$I$185,6,0)*VLOOKUP('Données projet'!$B$14,Paramètres!$A$1:$I$89,7,0))</f>
        <v>9.9000000000000005E-2</v>
      </c>
      <c r="DZ53" s="16">
        <f>IF(ISNA(VLOOKUP(A53,'Données projet'!$A$165:$I$185,7,0)),0%,VLOOKUP(A53,'Données projet'!$A$165:$I$185,7,0))</f>
        <v>0.18</v>
      </c>
      <c r="EA53" s="21">
        <f>EXP(-LN(2)/35)*EA52+(1-EXP(-LN(2)/35))/(LN(2)/35)*DW53*DX53*VLOOKUP('Données projet'!$B$14,Paramètres!$A$1:$I$89,3,0)*0.475*44/12</f>
        <v>33.646774212680562</v>
      </c>
      <c r="EB53" s="21">
        <f>EXP(-LN(2)/25)*EB52+(1-EXP(-LN(2)/25))/(LN(2)/25)*Calculateur!DW53*Calculateur!DY53*VLOOKUP('Données projet'!$B$14,Paramètres!$A$1:$I$89,3,0)*0.475*44/12</f>
        <v>20.718587734661835</v>
      </c>
      <c r="EC53" s="21">
        <f>EXP(-LN(2)/2)*EC52+(1-EXP(-LN(2)/2))/(LN(2)/2)*DW53*DZ53*VLOOKUP('Données projet'!$B$14,Paramètres!$A$1:$I$89,3,0)*0.475*44/12</f>
        <v>6.2261433423785872</v>
      </c>
      <c r="ED53" s="22">
        <f t="shared" si="18"/>
        <v>60.591505289720978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639</v>
      </c>
      <c r="EH53" s="12">
        <f>VLOOKUP(A53,'Données projet'!$A$191:$I$211,9,0)</f>
        <v>25</v>
      </c>
      <c r="EI53" s="12">
        <f t="array" ref="EI53">INDEX(EH:EH,MIN(IF(ISNUMBER(EH53:EH249),ROW(EH53:EH249),"")))</f>
        <v>25</v>
      </c>
      <c r="EJ53" s="12">
        <f>IF('Données projet'!$A$192&gt;35,EJ52+EI53-ER52,IF(A53&lt;'Données projet'!$A$192,$EG$205^A53,IF(A53='Données projet'!$A$192,'Données projet'!$B$192,EJ52+EI53-ER52)))</f>
        <v>639.00000000000023</v>
      </c>
      <c r="EK53" s="17">
        <f>EJ53*VLOOKUP('Données projet'!$B$15,Paramètres!$A$1:$I$89,3,0)*VLOOKUP('Données projet'!$B$15,Paramètres!$A$1:$I$89,5,0)</f>
        <v>357.20100000000014</v>
      </c>
      <c r="EL53" s="13">
        <f t="shared" si="45"/>
        <v>83.043509879488369</v>
      </c>
      <c r="EM53" s="20">
        <f t="shared" si="19"/>
        <v>766.75918804010917</v>
      </c>
      <c r="EN53" s="59">
        <f t="shared" si="20"/>
        <v>1060.0925213734424</v>
      </c>
      <c r="EO53" s="59">
        <f ca="1">AVERAGE(OFFSET($EN$3,0,0,'Données projet'!$E$15+1,1))-AVERAGE(OFFSET($H$3,0,0,'Données projet'!$E$15+1,1))</f>
        <v>313.36787814924116</v>
      </c>
      <c r="EP53" s="59">
        <f t="shared" si="46"/>
        <v>438.72984487610216</v>
      </c>
      <c r="EQ53" s="15">
        <f>IF(ISNA(VLOOKUP(A53,'Données projet'!$A$191:$I$211,3,0)),0,VLOOKUP(A53,'Données projet'!$A$191:$I$211,3,0))</f>
        <v>9</v>
      </c>
      <c r="ER53" s="15">
        <f>IF(ISNA(VLOOKUP(A53,'Données projet'!$A$191:$I$211,4,0)),0,VLOOKUP(A53,'Données projet'!$A$191:$I$211,4,0))</f>
        <v>639</v>
      </c>
      <c r="ES53" s="16">
        <f>IF(ISNA(VLOOKUP(A53,'Données projet'!$A$191:$I$211,5,0)),0%,VLOOKUP(A53,'Données projet'!$A$191:$I$211,5,0)*VLOOKUP('Données projet'!$B$15,Paramètres!$A$1:$I$89,7,0))</f>
        <v>0.44000000000000006</v>
      </c>
      <c r="ET53" s="16">
        <f>IF(ISNA(VLOOKUP(A53,'Données projet'!$A$191:$I$211,6,0)),0%,VLOOKUP(A53,'Données projet'!$A$191:$I$211,6,0)*VLOOKUP('Données projet'!$B$15,Paramètres!$A$1:$I$89,7,0))</f>
        <v>6.0500000000000005E-2</v>
      </c>
      <c r="EU53" s="16">
        <f>IF(ISNA(VLOOKUP(A53,'Données projet'!$A$191:$I$211,7,0)),0%,VLOOKUP(A53,'Données projet'!$A$191:$I$211,7,0))</f>
        <v>0.09</v>
      </c>
      <c r="EV53" s="21">
        <f>EXP(-LN(2)/35)*EV52+(1-EXP(-LN(2)/35))/(LN(2)/35)*ER53*ES53*VLOOKUP('Données projet'!$B$15,Paramètres!$A$1:$I$89,3,0)*0.475*44/12</f>
        <v>295.7436031043722</v>
      </c>
      <c r="EW53" s="21">
        <f>EXP(-LN(2)/25)*EW52+(1-EXP(-LN(2)/25))/(LN(2)/25)*Calculateur!ER53*Calculateur!ET53*VLOOKUP('Données projet'!$B$15,Paramètres!$A$1:$I$89,3,0)*0.475*44/12</f>
        <v>62.463333542277432</v>
      </c>
      <c r="EX53" s="21">
        <f>EXP(-LN(2)/2)*EX52+(1-EXP(-LN(2)/2))/(LN(2)/2)*ER53*EU53*VLOOKUP('Données projet'!$B$15,Paramètres!$A$1:$I$89,3,0)*0.475*44/12</f>
        <v>37.928547001929914</v>
      </c>
      <c r="EY53" s="22">
        <f t="shared" si="21"/>
        <v>396.13548364857957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5.6</v>
      </c>
      <c r="N54" s="13">
        <f>IF('Données projet'!$A$36&gt;35,N53+M54-V53,IF(A54&lt;'Données projet'!$A$36,$K$205^A54,IF(A54='Données projet'!$A$36,'Données projet'!$B$36,N53+M54-V53)))</f>
        <v>112.59999999999995</v>
      </c>
      <c r="O54" s="13">
        <f>N54*VLOOKUP('Données projet'!$B$9,Paramètres!$A$1:$I$89,3,0)*VLOOKUP('Données projet'!$B$9,Paramètres!$A$1:$I$89,5,0)</f>
        <v>101.88047999999995</v>
      </c>
      <c r="P54" s="13">
        <f t="shared" si="33"/>
        <v>27.409509067425631</v>
      </c>
      <c r="Q54" s="20">
        <f t="shared" si="53"/>
        <v>225.18006429243289</v>
      </c>
      <c r="R54" s="59">
        <f t="shared" si="0"/>
        <v>518.51339762576617</v>
      </c>
      <c r="S54" s="59">
        <f ca="1">AVERAGE(OFFSET($R$3,0,0,'Données projet'!$E$9+1,1))-AVERAGE(OFFSET($H$3,0,0,'Données projet'!$E$9+1,1))</f>
        <v>173.91998182168385</v>
      </c>
      <c r="T54" s="59">
        <f t="shared" si="34"/>
        <v>72.011647893875363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3.2185524174800495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3.2185524174800495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5.6</v>
      </c>
      <c r="AI54" s="13">
        <f>IF('Données projet'!$A$62&gt;35,AI53+AH54-AQ53,IF(A54&lt;'Données projet'!$A$62,$AF$205^A54,IF(A54='Données projet'!$A$62,'Données projet'!$B$62,AI53+AH54-AQ53)))</f>
        <v>112.59999999999995</v>
      </c>
      <c r="AJ54" s="13">
        <f>AI54*VLOOKUP('Données projet'!$B$10,Paramètres!$A$1:$I$89,3,0)*VLOOKUP('Données projet'!$B$10,Paramètres!$A$1:$I$89,5,0)</f>
        <v>121.20263999999995</v>
      </c>
      <c r="AK54" s="13">
        <f t="shared" si="35"/>
        <v>31.955332323658638</v>
      </c>
      <c r="AL54" s="20">
        <f t="shared" si="4"/>
        <v>266.75013513037203</v>
      </c>
      <c r="AM54" s="59">
        <f t="shared" si="5"/>
        <v>560.08346846370534</v>
      </c>
      <c r="AN54" s="59">
        <f ca="1">AVERAGE(OFFSET($AM$3,0,0,'Données projet'!$E$10+1,1))-AVERAGE(OFFSET($H$3,0,0,'Données projet'!$E$10+1,1))</f>
        <v>150.9416300233616</v>
      </c>
      <c r="AO54" s="59">
        <f t="shared" si="36"/>
        <v>92.286636088269972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5.8696279647911904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5.8696279647911904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5.6</v>
      </c>
      <c r="BD54" s="12">
        <f>IF('Données projet'!$A$88&gt;35,BD53+BC54-BL53,IF(A54&lt;'Données projet'!$A$88,$BA$205^A54,IF(A54='Données projet'!$A$88,'Données projet'!$B$88,BD53+BC54-BL53)))</f>
        <v>112.59999999999995</v>
      </c>
      <c r="BE54" s="13">
        <f>BD54*VLOOKUP('Données projet'!$B$11,Paramètres!$A$1:$I$89,3,0)*VLOOKUP('Données projet'!$B$11,Paramètres!$A$1:$I$89,5,0)</f>
        <v>108.90671999999995</v>
      </c>
      <c r="BF54" s="13">
        <f t="shared" si="37"/>
        <v>29.073249724487347</v>
      </c>
      <c r="BG54" s="20">
        <f t="shared" si="7"/>
        <v>240.31511393681535</v>
      </c>
      <c r="BH54" s="59">
        <f t="shared" si="8"/>
        <v>533.64844727014861</v>
      </c>
      <c r="BI54" s="59">
        <f ca="1">AVERAGE(OFFSET($BH$3,0,0,'Données projet'!$E$11+1,1))-AVERAGE(OFFSET($H$3,0,0,'Données projet'!$E$11+1,1))</f>
        <v>131.02416800340484</v>
      </c>
      <c r="BJ54" s="59">
        <f t="shared" si="38"/>
        <v>79.394119001888555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5.2741584611167225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5.2741584611167225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5.6</v>
      </c>
      <c r="BY54" s="12">
        <f>IF('Données projet'!$A$114&gt;35,BY53+BX54-CG53,IF(A54&lt;'Données projet'!$A$114,$BV$205^A54,IF(A54='Données projet'!$A$114,'Données projet'!$B$114,BY53+BX54-CG53)))</f>
        <v>112.59999999999995</v>
      </c>
      <c r="BZ54" s="13">
        <f>BY54*VLOOKUP('Données projet'!$B$12,Paramètres!$A$1:$I$89,3,0)*VLOOKUP('Données projet'!$B$12,Paramètres!$A$1:$I$89,5,0)</f>
        <v>101.88047999999995</v>
      </c>
      <c r="CA54" s="13">
        <f t="shared" si="39"/>
        <v>27.409509067425631</v>
      </c>
      <c r="CB54" s="20">
        <f t="shared" si="10"/>
        <v>225.18006429243289</v>
      </c>
      <c r="CC54" s="59">
        <f t="shared" si="11"/>
        <v>518.51339762576617</v>
      </c>
      <c r="CD54" s="59">
        <f ca="1">AVERAGE(OFFSET($CC$3,0,0,'Données projet'!$E$12+1,1))-AVERAGE(OFFSET($H$3,0,0,'Données projet'!$E$12+1,1))</f>
        <v>119.62076457560073</v>
      </c>
      <c r="CE54" s="59">
        <f t="shared" si="40"/>
        <v>72.011647893875363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4.93389017330274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4.93389017330274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5.6</v>
      </c>
      <c r="CT54" s="12">
        <f>IF('Données projet'!$A$140&gt;35,CT53+CS54-DB53,IF(A54&lt;'Données projet'!$A$140,$CQ$205^A54,IF(A54='Données projet'!$A$140,'Données projet'!$B$140,CT53+CS54-DB53)))</f>
        <v>112.59999999999995</v>
      </c>
      <c r="CU54" s="17">
        <f>CT54*VLOOKUP('Données projet'!$B$13,Paramètres!$A$1:$I$89,3,0)*VLOOKUP('Données projet'!$B$13,Paramètres!$A$1:$I$89,5,0)</f>
        <v>121.20263999999995</v>
      </c>
      <c r="CV54" s="13">
        <f t="shared" si="41"/>
        <v>31.955332323658638</v>
      </c>
      <c r="CW54" s="20">
        <f t="shared" si="13"/>
        <v>266.75013513037203</v>
      </c>
      <c r="CX54" s="59">
        <f t="shared" si="14"/>
        <v>560.08346846370534</v>
      </c>
      <c r="CY54" s="59">
        <f ca="1">AVERAGE(OFFSET($CX$3,0,0,'Données projet'!$E$13+1,1))-AVERAGE(OFFSET($H$3,0,0,'Données projet'!$E$13+1,1))</f>
        <v>150.9416300233616</v>
      </c>
      <c r="CZ54" s="59">
        <f t="shared" si="42"/>
        <v>92.286636088269972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5.8696279647911904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5.8696279647911904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13.2</v>
      </c>
      <c r="DO54" s="12">
        <f>IF('Données projet'!$A$166&gt;35,DO53+DN54-DW53,IF(A54&lt;'Données projet'!$A$166,$DL$205^A54,IF(A54='Données projet'!$A$166,'Données projet'!$B$166,DO53+DN54-DW53)))</f>
        <v>332.1999999999997</v>
      </c>
      <c r="DP54" s="17">
        <f>DO54*VLOOKUP('Données projet'!$B$14,Paramètres!$A$1:$I$89,3,0)*VLOOKUP('Données projet'!$B$14,Paramètres!$A$1:$I$89,5,0)</f>
        <v>198.65559999999985</v>
      </c>
      <c r="DQ54" s="13">
        <f t="shared" si="43"/>
        <v>49.448593416781478</v>
      </c>
      <c r="DR54" s="20">
        <f t="shared" si="16"/>
        <v>432.11480353422752</v>
      </c>
      <c r="DS54" s="59">
        <f t="shared" si="17"/>
        <v>725.44813686756083</v>
      </c>
      <c r="DT54" s="59">
        <f ca="1">AVERAGE(OFFSET($DS$3,0,0,'Données projet'!$E$14+1,1))-AVERAGE(OFFSET($H$3,0,0,'Données projet'!$E$14+1,1))</f>
        <v>249.22792522076639</v>
      </c>
      <c r="DU54" s="59">
        <f t="shared" si="44"/>
        <v>244.53725944480669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32.986981492875735</v>
      </c>
      <c r="EB54" s="21">
        <f>EXP(-LN(2)/25)*EB53+(1-EXP(-LN(2)/25))/(LN(2)/25)*Calculateur!DW54*Calculateur!DY54*VLOOKUP('Données projet'!$B$14,Paramètres!$A$1:$I$89,3,0)*0.475*44/12</f>
        <v>20.152036863514329</v>
      </c>
      <c r="EC54" s="21">
        <f>EXP(-LN(2)/2)*EC53+(1-EXP(-LN(2)/2))/(LN(2)/2)*DW54*DZ54*VLOOKUP('Données projet'!$B$14,Paramètres!$A$1:$I$89,3,0)*0.475*44/12</f>
        <v>4.4025481780353752</v>
      </c>
      <c r="ED54" s="22">
        <f t="shared" si="18"/>
        <v>57.541566534425442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2.2737367544323206E-13</v>
      </c>
      <c r="EK54" s="17">
        <f>EJ54*VLOOKUP('Données projet'!$B$15,Paramètres!$A$1:$I$89,3,0)*VLOOKUP('Données projet'!$B$15,Paramètres!$A$1:$I$89,5,0)</f>
        <v>1.2710188457276673E-13</v>
      </c>
      <c r="EL54" s="13">
        <f t="shared" si="45"/>
        <v>1.856866851063998E-12</v>
      </c>
      <c r="EM54" s="20">
        <f t="shared" si="19"/>
        <v>3.4554122145673649E-12</v>
      </c>
      <c r="EN54" s="59">
        <f t="shared" si="20"/>
        <v>293.33333333333678</v>
      </c>
      <c r="EO54" s="59">
        <f ca="1">AVERAGE(OFFSET($EN$3,0,0,'Données projet'!$E$15+1,1))-AVERAGE(OFFSET($H$3,0,0,'Données projet'!$E$15+1,1))</f>
        <v>313.36787814924116</v>
      </c>
      <c r="EP54" s="59">
        <f t="shared" si="46"/>
        <v>438.72984487610216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289.94425143328175</v>
      </c>
      <c r="EW54" s="21">
        <f>EXP(-LN(2)/25)*EW53+(1-EXP(-LN(2)/25))/(LN(2)/25)*Calculateur!ER54*Calculateur!ET54*VLOOKUP('Données projet'!$B$15,Paramètres!$A$1:$I$89,3,0)*0.475*44/12</f>
        <v>60.755270401759908</v>
      </c>
      <c r="EX54" s="21">
        <f>EXP(-LN(2)/2)*EX53+(1-EXP(-LN(2)/2))/(LN(2)/2)*ER54*EU54*VLOOKUP('Données projet'!$B$15,Paramètres!$A$1:$I$89,3,0)*0.475*44/12</f>
        <v>26.819532785617341</v>
      </c>
      <c r="EY54" s="22">
        <f t="shared" si="21"/>
        <v>377.51905462065901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5.6</v>
      </c>
      <c r="N55" s="13">
        <f>IF('Données projet'!$A$36&gt;35,N54+M55-V54,IF(A55&lt;'Données projet'!$A$36,$K$205^A55,IF(A55='Données projet'!$A$36,'Données projet'!$B$36,N54+M55-V54)))</f>
        <v>118.19999999999995</v>
      </c>
      <c r="O55" s="13">
        <f>N55*VLOOKUP('Données projet'!$B$9,Paramètres!$A$1:$I$89,3,0)*VLOOKUP('Données projet'!$B$9,Paramètres!$A$1:$I$89,5,0)</f>
        <v>106.94735999999996</v>
      </c>
      <c r="P55" s="13">
        <f t="shared" si="33"/>
        <v>28.61058496425451</v>
      </c>
      <c r="Q55" s="20">
        <f t="shared" si="53"/>
        <v>236.09675414607651</v>
      </c>
      <c r="R55" s="59">
        <f t="shared" si="0"/>
        <v>529.43008747940985</v>
      </c>
      <c r="S55" s="59">
        <f ca="1">AVERAGE(OFFSET($R$3,0,0,'Données projet'!$E$9+1,1))-AVERAGE(OFFSET($H$3,0,0,'Données projet'!$E$9+1,1))</f>
        <v>173.91998182168385</v>
      </c>
      <c r="T55" s="59">
        <f t="shared" si="34"/>
        <v>72.011647893875363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3.1554385676963981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3.1554385676963981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5.6</v>
      </c>
      <c r="AI55" s="13">
        <f>IF('Données projet'!$A$62&gt;35,AI54+AH55-AQ54,IF(A55&lt;'Données projet'!$A$62,$AF$205^A55,IF(A55='Données projet'!$A$62,'Données projet'!$B$62,AI54+AH55-AQ54)))</f>
        <v>118.19999999999995</v>
      </c>
      <c r="AJ55" s="13">
        <f>AI55*VLOOKUP('Données projet'!$B$10,Paramètres!$A$1:$I$89,3,0)*VLOOKUP('Données projet'!$B$10,Paramètres!$A$1:$I$89,5,0)</f>
        <v>127.23047999999993</v>
      </c>
      <c r="AK55" s="13">
        <f t="shared" si="35"/>
        <v>33.355604737684331</v>
      </c>
      <c r="AL55" s="20">
        <f t="shared" si="4"/>
        <v>279.68743091813337</v>
      </c>
      <c r="AM55" s="59">
        <f t="shared" si="5"/>
        <v>573.02076425146674</v>
      </c>
      <c r="AN55" s="59">
        <f ca="1">AVERAGE(OFFSET($AM$3,0,0,'Données projet'!$E$10+1,1))-AVERAGE(OFFSET($H$3,0,0,'Données projet'!$E$10+1,1))</f>
        <v>150.9416300233616</v>
      </c>
      <c r="AO55" s="59">
        <f t="shared" si="36"/>
        <v>92.286636088269972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5.7545281405211863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5.7545281405211863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5.6</v>
      </c>
      <c r="BD55" s="12">
        <f>IF('Données projet'!$A$88&gt;35,BD54+BC55-BL54,IF(A55&lt;'Données projet'!$A$88,$BA$205^A55,IF(A55='Données projet'!$A$88,'Données projet'!$B$88,BD54+BC55-BL54)))</f>
        <v>118.19999999999995</v>
      </c>
      <c r="BE55" s="13">
        <f>BD55*VLOOKUP('Données projet'!$B$11,Paramètres!$A$1:$I$89,3,0)*VLOOKUP('Données projet'!$B$11,Paramètres!$A$1:$I$89,5,0)</f>
        <v>114.32303999999995</v>
      </c>
      <c r="BF55" s="13">
        <f t="shared" si="37"/>
        <v>30.347230203330305</v>
      </c>
      <c r="BG55" s="20">
        <f t="shared" si="7"/>
        <v>251.96738727080017</v>
      </c>
      <c r="BH55" s="59">
        <f t="shared" si="8"/>
        <v>545.30072060413352</v>
      </c>
      <c r="BI55" s="59">
        <f ca="1">AVERAGE(OFFSET($BH$3,0,0,'Données projet'!$E$11+1,1))-AVERAGE(OFFSET($H$3,0,0,'Données projet'!$E$11+1,1))</f>
        <v>131.02416800340484</v>
      </c>
      <c r="BJ55" s="59">
        <f t="shared" si="38"/>
        <v>79.394119001888555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5.1707354306132407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5.1707354306132407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5.6</v>
      </c>
      <c r="BY55" s="12">
        <f>IF('Données projet'!$A$114&gt;35,BY54+BX55-CG54,IF(A55&lt;'Données projet'!$A$114,$BV$205^A55,IF(A55='Données projet'!$A$114,'Données projet'!$B$114,BY54+BX55-CG54)))</f>
        <v>118.19999999999995</v>
      </c>
      <c r="BZ55" s="13">
        <f>BY55*VLOOKUP('Données projet'!$B$12,Paramètres!$A$1:$I$89,3,0)*VLOOKUP('Données projet'!$B$12,Paramètres!$A$1:$I$89,5,0)</f>
        <v>106.94735999999996</v>
      </c>
      <c r="CA55" s="13">
        <f t="shared" si="39"/>
        <v>28.61058496425451</v>
      </c>
      <c r="CB55" s="20">
        <f t="shared" si="10"/>
        <v>236.09675414607651</v>
      </c>
      <c r="CC55" s="59">
        <f t="shared" si="11"/>
        <v>529.43008747940985</v>
      </c>
      <c r="CD55" s="59">
        <f ca="1">AVERAGE(OFFSET($CC$3,0,0,'Données projet'!$E$12+1,1))-AVERAGE(OFFSET($H$3,0,0,'Données projet'!$E$12+1,1))</f>
        <v>119.62076457560073</v>
      </c>
      <c r="CE55" s="59">
        <f t="shared" si="40"/>
        <v>72.011647893875363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4.837139596380128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4.837139596380128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5.6</v>
      </c>
      <c r="CT55" s="12">
        <f>IF('Données projet'!$A$140&gt;35,CT54+CS55-DB54,IF(A55&lt;'Données projet'!$A$140,$CQ$205^A55,IF(A55='Données projet'!$A$140,'Données projet'!$B$140,CT54+CS55-DB54)))</f>
        <v>118.19999999999995</v>
      </c>
      <c r="CU55" s="17">
        <f>CT55*VLOOKUP('Données projet'!$B$13,Paramètres!$A$1:$I$89,3,0)*VLOOKUP('Données projet'!$B$13,Paramètres!$A$1:$I$89,5,0)</f>
        <v>127.23047999999993</v>
      </c>
      <c r="CV55" s="13">
        <f t="shared" si="41"/>
        <v>33.355604737684331</v>
      </c>
      <c r="CW55" s="20">
        <f t="shared" si="13"/>
        <v>279.68743091813337</v>
      </c>
      <c r="CX55" s="59">
        <f t="shared" si="14"/>
        <v>573.02076425146674</v>
      </c>
      <c r="CY55" s="59">
        <f ca="1">AVERAGE(OFFSET($CX$3,0,0,'Données projet'!$E$13+1,1))-AVERAGE(OFFSET($H$3,0,0,'Données projet'!$E$13+1,1))</f>
        <v>150.9416300233616</v>
      </c>
      <c r="CZ55" s="59">
        <f t="shared" si="42"/>
        <v>92.286636088269972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5.7545281405211863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5.7545281405211863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13.2</v>
      </c>
      <c r="DO55" s="12">
        <f>IF('Données projet'!$A$166&gt;35,DO54+DN55-DW54,IF(A55&lt;'Données projet'!$A$166,$DL$205^A55,IF(A55='Données projet'!$A$166,'Données projet'!$B$166,DO54+DN55-DW54)))</f>
        <v>345.39999999999969</v>
      </c>
      <c r="DP55" s="17">
        <f>DO55*VLOOKUP('Données projet'!$B$14,Paramètres!$A$1:$I$89,3,0)*VLOOKUP('Données projet'!$B$14,Paramètres!$A$1:$I$89,5,0)</f>
        <v>206.54919999999984</v>
      </c>
      <c r="DQ55" s="13">
        <f t="shared" si="43"/>
        <v>51.180773446917371</v>
      </c>
      <c r="DR55" s="20">
        <f t="shared" si="16"/>
        <v>448.87970375338074</v>
      </c>
      <c r="DS55" s="59">
        <f t="shared" si="17"/>
        <v>742.21303708671405</v>
      </c>
      <c r="DT55" s="59">
        <f ca="1">AVERAGE(OFFSET($DS$3,0,0,'Données projet'!$E$14+1,1))-AVERAGE(OFFSET($H$3,0,0,'Données projet'!$E$14+1,1))</f>
        <v>249.22792522076639</v>
      </c>
      <c r="DU55" s="59">
        <f t="shared" si="44"/>
        <v>244.53725944480669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32.340126905872459</v>
      </c>
      <c r="EB55" s="21">
        <f>EXP(-LN(2)/25)*EB54+(1-EXP(-LN(2)/25))/(LN(2)/25)*Calculateur!DW55*Calculateur!DY55*VLOOKUP('Données projet'!$B$14,Paramètres!$A$1:$I$89,3,0)*0.475*44/12</f>
        <v>19.600978355731968</v>
      </c>
      <c r="EC55" s="21">
        <f>EXP(-LN(2)/2)*EC54+(1-EXP(-LN(2)/2))/(LN(2)/2)*DW55*DZ55*VLOOKUP('Données projet'!$B$14,Paramètres!$A$1:$I$89,3,0)*0.475*44/12</f>
        <v>3.1130716711892936</v>
      </c>
      <c r="ED55" s="22">
        <f t="shared" si="18"/>
        <v>55.054176932793723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2.2737367544323206E-13</v>
      </c>
      <c r="EK55" s="17">
        <f>EJ55*VLOOKUP('Données projet'!$B$15,Paramètres!$A$1:$I$89,3,0)*VLOOKUP('Données projet'!$B$15,Paramètres!$A$1:$I$89,5,0)</f>
        <v>1.2710188457276673E-13</v>
      </c>
      <c r="EL55" s="13">
        <f t="shared" si="45"/>
        <v>1.856866851063998E-12</v>
      </c>
      <c r="EM55" s="20">
        <f t="shared" si="19"/>
        <v>3.4554122145673649E-12</v>
      </c>
      <c r="EN55" s="59">
        <f t="shared" si="20"/>
        <v>293.33333333333678</v>
      </c>
      <c r="EO55" s="59">
        <f ca="1">AVERAGE(OFFSET($EN$3,0,0,'Données projet'!$E$15+1,1))-AVERAGE(OFFSET($H$3,0,0,'Données projet'!$E$15+1,1))</f>
        <v>313.36787814924116</v>
      </c>
      <c r="EP55" s="59">
        <f t="shared" si="46"/>
        <v>438.72984487610216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284.25862151120612</v>
      </c>
      <c r="EW55" s="21">
        <f>EXP(-LN(2)/25)*EW54+(1-EXP(-LN(2)/25))/(LN(2)/25)*Calculateur!ER55*Calculateur!ET55*VLOOKUP('Données projet'!$B$15,Paramètres!$A$1:$I$89,3,0)*0.475*44/12</f>
        <v>59.093914337642971</v>
      </c>
      <c r="EX55" s="21">
        <f>EXP(-LN(2)/2)*EX54+(1-EXP(-LN(2)/2))/(LN(2)/2)*ER55*EU55*VLOOKUP('Données projet'!$B$15,Paramètres!$A$1:$I$89,3,0)*0.475*44/12</f>
        <v>18.964273500964961</v>
      </c>
      <c r="EY55" s="22">
        <f t="shared" si="21"/>
        <v>362.31680934981404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5.6</v>
      </c>
      <c r="N56" s="13">
        <f>IF('Données projet'!$A$36&gt;35,N55+M56-V55,IF(A56&lt;'Données projet'!$A$36,$K$205^A56,IF(A56='Données projet'!$A$36,'Données projet'!$B$36,N55+M56-V55)))</f>
        <v>123.79999999999994</v>
      </c>
      <c r="O56" s="13">
        <f>N56*VLOOKUP('Données projet'!$B$9,Paramètres!$A$1:$I$89,3,0)*VLOOKUP('Données projet'!$B$9,Paramètres!$A$1:$I$89,5,0)</f>
        <v>112.01423999999994</v>
      </c>
      <c r="P56" s="13">
        <f t="shared" si="33"/>
        <v>29.805052882814007</v>
      </c>
      <c r="Q56" s="20">
        <f t="shared" si="53"/>
        <v>247.00193510423426</v>
      </c>
      <c r="R56" s="59">
        <f t="shared" si="0"/>
        <v>540.33526843756761</v>
      </c>
      <c r="S56" s="59">
        <f ca="1">AVERAGE(OFFSET($R$3,0,0,'Données projet'!$E$9+1,1))-AVERAGE(OFFSET($H$3,0,0,'Données projet'!$E$9+1,1))</f>
        <v>173.91998182168385</v>
      </c>
      <c r="T56" s="59">
        <f t="shared" si="34"/>
        <v>72.011647893875363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3.0935623420113569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3.0935623420113569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5.6</v>
      </c>
      <c r="AI56" s="13">
        <f>IF('Données projet'!$A$62&gt;35,AI55+AH56-AQ55,IF(A56&lt;'Données projet'!$A$62,$AF$205^A56,IF(A56='Données projet'!$A$62,'Données projet'!$B$62,AI55+AH56-AQ55)))</f>
        <v>123.79999999999994</v>
      </c>
      <c r="AJ56" s="13">
        <f>AI56*VLOOKUP('Données projet'!$B$10,Paramètres!$A$1:$I$89,3,0)*VLOOKUP('Données projet'!$B$10,Paramètres!$A$1:$I$89,5,0)</f>
        <v>133.25831999999994</v>
      </c>
      <c r="AK56" s="13">
        <f t="shared" si="35"/>
        <v>34.748173250809565</v>
      </c>
      <c r="AL56" s="20">
        <f t="shared" si="4"/>
        <v>292.61130907849321</v>
      </c>
      <c r="AM56" s="59">
        <f t="shared" si="5"/>
        <v>585.94464241182652</v>
      </c>
      <c r="AN56" s="59">
        <f ca="1">AVERAGE(OFFSET($AM$3,0,0,'Données projet'!$E$10+1,1))-AVERAGE(OFFSET($H$3,0,0,'Données projet'!$E$10+1,1))</f>
        <v>150.9416300233616</v>
      </c>
      <c r="AO56" s="59">
        <f t="shared" si="36"/>
        <v>92.286636088269972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5.6416853536011562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5.6416853536011562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5.6</v>
      </c>
      <c r="BD56" s="12">
        <f>IF('Données projet'!$A$88&gt;35,BD55+BC56-BL55,IF(A56&lt;'Données projet'!$A$88,$BA$205^A56,IF(A56='Données projet'!$A$88,'Données projet'!$B$88,BD55+BC56-BL55)))</f>
        <v>123.79999999999994</v>
      </c>
      <c r="BE56" s="13">
        <f>BD56*VLOOKUP('Données projet'!$B$11,Paramètres!$A$1:$I$89,3,0)*VLOOKUP('Données projet'!$B$11,Paramètres!$A$1:$I$89,5,0)</f>
        <v>119.73935999999993</v>
      </c>
      <c r="BF56" s="13">
        <f t="shared" si="37"/>
        <v>31.614201603611228</v>
      </c>
      <c r="BG56" s="20">
        <f t="shared" si="7"/>
        <v>263.60745312628939</v>
      </c>
      <c r="BH56" s="59">
        <f t="shared" si="8"/>
        <v>556.9407864596227</v>
      </c>
      <c r="BI56" s="59">
        <f ca="1">AVERAGE(OFFSET($BH$3,0,0,'Données projet'!$E$11+1,1))-AVERAGE(OFFSET($H$3,0,0,'Données projet'!$E$11+1,1))</f>
        <v>131.02416800340484</v>
      </c>
      <c r="BJ56" s="59">
        <f t="shared" si="38"/>
        <v>79.394119001888555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5.069340462656112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5.069340462656112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5.6</v>
      </c>
      <c r="BY56" s="12">
        <f>IF('Données projet'!$A$114&gt;35,BY55+BX56-CG55,IF(A56&lt;'Données projet'!$A$114,$BV$205^A56,IF(A56='Données projet'!$A$114,'Données projet'!$B$114,BY55+BX56-CG55)))</f>
        <v>123.79999999999994</v>
      </c>
      <c r="BZ56" s="13">
        <f>BY56*VLOOKUP('Données projet'!$B$12,Paramètres!$A$1:$I$89,3,0)*VLOOKUP('Données projet'!$B$12,Paramètres!$A$1:$I$89,5,0)</f>
        <v>112.01423999999994</v>
      </c>
      <c r="CA56" s="13">
        <f t="shared" si="39"/>
        <v>29.805052882814007</v>
      </c>
      <c r="CB56" s="20">
        <f t="shared" si="10"/>
        <v>247.00193510423426</v>
      </c>
      <c r="CC56" s="59">
        <f t="shared" si="11"/>
        <v>540.33526843756761</v>
      </c>
      <c r="CD56" s="59">
        <f ca="1">AVERAGE(OFFSET($CC$3,0,0,'Données projet'!$E$12+1,1))-AVERAGE(OFFSET($H$3,0,0,'Données projet'!$E$12+1,1))</f>
        <v>119.62076457560073</v>
      </c>
      <c r="CE56" s="59">
        <f t="shared" si="40"/>
        <v>72.011647893875363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4.7422862392589433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4.7422862392589433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5.6</v>
      </c>
      <c r="CT56" s="12">
        <f>IF('Données projet'!$A$140&gt;35,CT55+CS56-DB55,IF(A56&lt;'Données projet'!$A$140,$CQ$205^A56,IF(A56='Données projet'!$A$140,'Données projet'!$B$140,CT55+CS56-DB55)))</f>
        <v>123.79999999999994</v>
      </c>
      <c r="CU56" s="17">
        <f>CT56*VLOOKUP('Données projet'!$B$13,Paramètres!$A$1:$I$89,3,0)*VLOOKUP('Données projet'!$B$13,Paramètres!$A$1:$I$89,5,0)</f>
        <v>133.25831999999994</v>
      </c>
      <c r="CV56" s="13">
        <f t="shared" si="41"/>
        <v>34.748173250809565</v>
      </c>
      <c r="CW56" s="20">
        <f t="shared" si="13"/>
        <v>292.61130907849321</v>
      </c>
      <c r="CX56" s="59">
        <f t="shared" si="14"/>
        <v>585.94464241182652</v>
      </c>
      <c r="CY56" s="59">
        <f ca="1">AVERAGE(OFFSET($CX$3,0,0,'Données projet'!$E$13+1,1))-AVERAGE(OFFSET($H$3,0,0,'Données projet'!$E$13+1,1))</f>
        <v>150.9416300233616</v>
      </c>
      <c r="CZ56" s="59">
        <f t="shared" si="42"/>
        <v>92.286636088269972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5.6416853536011562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5.6416853536011562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13.2</v>
      </c>
      <c r="DO56" s="12">
        <f>IF('Données projet'!$A$166&gt;35,DO55+DN56-DW55,IF(A56&lt;'Données projet'!$A$166,$DL$205^A56,IF(A56='Données projet'!$A$166,'Données projet'!$B$166,DO55+DN56-DW55)))</f>
        <v>358.59999999999968</v>
      </c>
      <c r="DP56" s="17">
        <f>DO56*VLOOKUP('Données projet'!$B$14,Paramètres!$A$1:$I$89,3,0)*VLOOKUP('Données projet'!$B$14,Paramètres!$A$1:$I$89,5,0)</f>
        <v>214.44279999999981</v>
      </c>
      <c r="DQ56" s="13">
        <f t="shared" si="43"/>
        <v>52.905263170057076</v>
      </c>
      <c r="DR56" s="20">
        <f t="shared" si="16"/>
        <v>465.63121002118237</v>
      </c>
      <c r="DS56" s="59">
        <f t="shared" si="17"/>
        <v>758.96454335451563</v>
      </c>
      <c r="DT56" s="59">
        <f ca="1">AVERAGE(OFFSET($DS$3,0,0,'Données projet'!$E$14+1,1))-AVERAGE(OFFSET($H$3,0,0,'Données projet'!$E$14+1,1))</f>
        <v>249.22792522076639</v>
      </c>
      <c r="DU56" s="59">
        <f t="shared" si="44"/>
        <v>244.53725944480669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31.705956742777978</v>
      </c>
      <c r="EB56" s="21">
        <f>EXP(-LN(2)/25)*EB55+(1-EXP(-LN(2)/25))/(LN(2)/25)*Calculateur!DW56*Calculateur!DY56*VLOOKUP('Données projet'!$B$14,Paramètres!$A$1:$I$89,3,0)*0.475*44/12</f>
        <v>19.064988571823825</v>
      </c>
      <c r="EC56" s="21">
        <f>EXP(-LN(2)/2)*EC55+(1-EXP(-LN(2)/2))/(LN(2)/2)*DW56*DZ56*VLOOKUP('Données projet'!$B$14,Paramètres!$A$1:$I$89,3,0)*0.475*44/12</f>
        <v>2.2012740890176876</v>
      </c>
      <c r="ED56" s="22">
        <f t="shared" si="18"/>
        <v>52.972219403619491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2.2737367544323206E-13</v>
      </c>
      <c r="EK56" s="17">
        <f>EJ56*VLOOKUP('Données projet'!$B$15,Paramètres!$A$1:$I$89,3,0)*VLOOKUP('Données projet'!$B$15,Paramètres!$A$1:$I$89,5,0)</f>
        <v>1.2710188457276673E-13</v>
      </c>
      <c r="EL56" s="13">
        <f t="shared" si="45"/>
        <v>1.856866851063998E-12</v>
      </c>
      <c r="EM56" s="20">
        <f t="shared" si="19"/>
        <v>3.4554122145673649E-12</v>
      </c>
      <c r="EN56" s="59">
        <f t="shared" si="20"/>
        <v>293.33333333333678</v>
      </c>
      <c r="EO56" s="59">
        <f ca="1">AVERAGE(OFFSET($EN$3,0,0,'Données projet'!$E$15+1,1))-AVERAGE(OFFSET($H$3,0,0,'Données projet'!$E$15+1,1))</f>
        <v>313.36787814924116</v>
      </c>
      <c r="EP56" s="59">
        <f t="shared" si="46"/>
        <v>438.72984487610216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278.68448332401056</v>
      </c>
      <c r="EW56" s="21">
        <f>EXP(-LN(2)/25)*EW55+(1-EXP(-LN(2)/25))/(LN(2)/25)*Calculateur!ER56*Calculateur!ET56*VLOOKUP('Données projet'!$B$15,Paramètres!$A$1:$I$89,3,0)*0.475*44/12</f>
        <v>57.477988142466231</v>
      </c>
      <c r="EX56" s="21">
        <f>EXP(-LN(2)/2)*EX55+(1-EXP(-LN(2)/2))/(LN(2)/2)*ER56*EU56*VLOOKUP('Données projet'!$B$15,Paramètres!$A$1:$I$89,3,0)*0.475*44/12</f>
        <v>13.409766392808672</v>
      </c>
      <c r="EY56" s="22">
        <f t="shared" si="21"/>
        <v>349.57223785928545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5.6</v>
      </c>
      <c r="N57" s="13">
        <f>IF('Données projet'!$A$36&gt;35,N56+M57-V56,IF(A57&lt;'Données projet'!$A$36,$K$205^A57,IF(A57='Données projet'!$A$36,'Données projet'!$B$36,N56+M57-V56)))</f>
        <v>129.39999999999995</v>
      </c>
      <c r="O57" s="13">
        <f>N57*VLOOKUP('Données projet'!$B$9,Paramètres!$A$1:$I$89,3,0)*VLOOKUP('Données projet'!$B$9,Paramètres!$A$1:$I$89,5,0)</f>
        <v>117.08111999999994</v>
      </c>
      <c r="P57" s="13">
        <f t="shared" si="33"/>
        <v>30.993245877902066</v>
      </c>
      <c r="Q57" s="20">
        <f t="shared" si="53"/>
        <v>257.896187237346</v>
      </c>
      <c r="R57" s="59">
        <f t="shared" si="0"/>
        <v>551.22952057067937</v>
      </c>
      <c r="S57" s="59">
        <f ca="1">AVERAGE(OFFSET($R$3,0,0,'Données projet'!$E$9+1,1))-AVERAGE(OFFSET($H$3,0,0,'Données projet'!$E$9+1,1))</f>
        <v>173.91998182168385</v>
      </c>
      <c r="T57" s="59">
        <f t="shared" si="34"/>
        <v>72.011647893875363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3.0328994713712283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3.0328994713712283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5.6</v>
      </c>
      <c r="AI57" s="13">
        <f>IF('Données projet'!$A$62&gt;35,AI56+AH57-AQ56,IF(A57&lt;'Données projet'!$A$62,$AF$205^A57,IF(A57='Données projet'!$A$62,'Données projet'!$B$62,AI56+AH57-AQ56)))</f>
        <v>129.39999999999995</v>
      </c>
      <c r="AJ57" s="13">
        <f>AI57*VLOOKUP('Données projet'!$B$10,Paramètres!$A$1:$I$89,3,0)*VLOOKUP('Données projet'!$B$10,Paramètres!$A$1:$I$89,5,0)</f>
        <v>139.28615999999994</v>
      </c>
      <c r="AK57" s="13">
        <f t="shared" si="35"/>
        <v>36.133426154438062</v>
      </c>
      <c r="AL57" s="20">
        <f t="shared" si="4"/>
        <v>305.52244588564616</v>
      </c>
      <c r="AM57" s="59">
        <f t="shared" si="5"/>
        <v>598.85577921897948</v>
      </c>
      <c r="AN57" s="59">
        <f ca="1">AVERAGE(OFFSET($AM$3,0,0,'Données projet'!$E$10+1,1))-AVERAGE(OFFSET($H$3,0,0,'Données projet'!$E$10+1,1))</f>
        <v>150.9416300233616</v>
      </c>
      <c r="AO57" s="59">
        <f t="shared" si="36"/>
        <v>92.286636088269972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5.5310553449053241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5.5310553449053241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5.6</v>
      </c>
      <c r="BD57" s="12">
        <f>IF('Données projet'!$A$88&gt;35,BD56+BC57-BL56,IF(A57&lt;'Données projet'!$A$88,$BA$205^A57,IF(A57='Données projet'!$A$88,'Données projet'!$B$88,BD56+BC57-BL56)))</f>
        <v>129.39999999999995</v>
      </c>
      <c r="BE57" s="13">
        <f>BD57*VLOOKUP('Données projet'!$B$11,Paramètres!$A$1:$I$89,3,0)*VLOOKUP('Données projet'!$B$11,Paramètres!$A$1:$I$89,5,0)</f>
        <v>125.15567999999995</v>
      </c>
      <c r="BF57" s="13">
        <f t="shared" si="37"/>
        <v>32.874517196353331</v>
      </c>
      <c r="BG57" s="20">
        <f t="shared" si="7"/>
        <v>275.23592678364861</v>
      </c>
      <c r="BH57" s="59">
        <f t="shared" si="8"/>
        <v>568.56926011698192</v>
      </c>
      <c r="BI57" s="59">
        <f ca="1">AVERAGE(OFFSET($BH$3,0,0,'Données projet'!$E$11+1,1))-AVERAGE(OFFSET($H$3,0,0,'Données projet'!$E$11+1,1))</f>
        <v>131.02416800340484</v>
      </c>
      <c r="BJ57" s="59">
        <f t="shared" si="38"/>
        <v>79.394119001888555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4.9699337881757994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4.9699337881757994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5.6</v>
      </c>
      <c r="BY57" s="12">
        <f>IF('Données projet'!$A$114&gt;35,BY56+BX57-CG56,IF(A57&lt;'Données projet'!$A$114,$BV$205^A57,IF(A57='Données projet'!$A$114,'Données projet'!$B$114,BY56+BX57-CG56)))</f>
        <v>129.39999999999995</v>
      </c>
      <c r="BZ57" s="13">
        <f>BY57*VLOOKUP('Données projet'!$B$12,Paramètres!$A$1:$I$89,3,0)*VLOOKUP('Données projet'!$B$12,Paramètres!$A$1:$I$89,5,0)</f>
        <v>117.08111999999994</v>
      </c>
      <c r="CA57" s="13">
        <f t="shared" si="39"/>
        <v>30.993245877902066</v>
      </c>
      <c r="CB57" s="20">
        <f t="shared" si="10"/>
        <v>257.896187237346</v>
      </c>
      <c r="CC57" s="59">
        <f t="shared" si="11"/>
        <v>551.22952057067937</v>
      </c>
      <c r="CD57" s="59">
        <f ca="1">AVERAGE(OFFSET($CC$3,0,0,'Données projet'!$E$12+1,1))-AVERAGE(OFFSET($H$3,0,0,'Données projet'!$E$12+1,1))</f>
        <v>119.62076457560073</v>
      </c>
      <c r="CE57" s="59">
        <f t="shared" si="40"/>
        <v>72.011647893875363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4.6492928986160695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4.6492928986160695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5.6</v>
      </c>
      <c r="CT57" s="12">
        <f>IF('Données projet'!$A$140&gt;35,CT56+CS57-DB56,IF(A57&lt;'Données projet'!$A$140,$CQ$205^A57,IF(A57='Données projet'!$A$140,'Données projet'!$B$140,CT56+CS57-DB56)))</f>
        <v>129.39999999999995</v>
      </c>
      <c r="CU57" s="17">
        <f>CT57*VLOOKUP('Données projet'!$B$13,Paramètres!$A$1:$I$89,3,0)*VLOOKUP('Données projet'!$B$13,Paramètres!$A$1:$I$89,5,0)</f>
        <v>139.28615999999994</v>
      </c>
      <c r="CV57" s="13">
        <f t="shared" si="41"/>
        <v>36.133426154438062</v>
      </c>
      <c r="CW57" s="20">
        <f t="shared" si="13"/>
        <v>305.52244588564616</v>
      </c>
      <c r="CX57" s="59">
        <f t="shared" si="14"/>
        <v>598.85577921897948</v>
      </c>
      <c r="CY57" s="59">
        <f ca="1">AVERAGE(OFFSET($CX$3,0,0,'Données projet'!$E$13+1,1))-AVERAGE(OFFSET($H$3,0,0,'Données projet'!$E$13+1,1))</f>
        <v>150.9416300233616</v>
      </c>
      <c r="CZ57" s="59">
        <f t="shared" si="42"/>
        <v>92.286636088269972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5.5310553449053241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5.5310553449053241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13.2</v>
      </c>
      <c r="DO57" s="12">
        <f>IF('Données projet'!$A$166&gt;35,DO56+DN57-DW56,IF(A57&lt;'Données projet'!$A$166,$DL$205^A57,IF(A57='Données projet'!$A$166,'Données projet'!$B$166,DO56+DN57-DW56)))</f>
        <v>371.79999999999967</v>
      </c>
      <c r="DP57" s="17">
        <f>DO57*VLOOKUP('Données projet'!$B$14,Paramètres!$A$1:$I$89,3,0)*VLOOKUP('Données projet'!$B$14,Paramètres!$A$1:$I$89,5,0)</f>
        <v>222.3363999999998</v>
      </c>
      <c r="DQ57" s="13">
        <f t="shared" si="43"/>
        <v>54.622378084246307</v>
      </c>
      <c r="DR57" s="20">
        <f t="shared" si="16"/>
        <v>482.36987183006198</v>
      </c>
      <c r="DS57" s="59">
        <f t="shared" si="17"/>
        <v>775.7032051633953</v>
      </c>
      <c r="DT57" s="59">
        <f ca="1">AVERAGE(OFFSET($DS$3,0,0,'Données projet'!$E$14+1,1))-AVERAGE(OFFSET($H$3,0,0,'Données projet'!$E$14+1,1))</f>
        <v>249.22792522076639</v>
      </c>
      <c r="DU57" s="59">
        <f t="shared" si="44"/>
        <v>244.53725944480669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31.084222269776173</v>
      </c>
      <c r="EB57" s="21">
        <f>EXP(-LN(2)/25)*EB56+(1-EXP(-LN(2)/25))/(LN(2)/25)*Calculateur!DW57*Calculateur!DY57*VLOOKUP('Données projet'!$B$14,Paramètres!$A$1:$I$89,3,0)*0.475*44/12</f>
        <v>18.543655456743128</v>
      </c>
      <c r="EC57" s="21">
        <f>EXP(-LN(2)/2)*EC56+(1-EXP(-LN(2)/2))/(LN(2)/2)*DW57*DZ57*VLOOKUP('Données projet'!$B$14,Paramètres!$A$1:$I$89,3,0)*0.475*44/12</f>
        <v>1.5565358355946468</v>
      </c>
      <c r="ED57" s="22">
        <f t="shared" si="18"/>
        <v>51.184413562113946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2.2737367544323206E-13</v>
      </c>
      <c r="EK57" s="17">
        <f>EJ57*VLOOKUP('Données projet'!$B$15,Paramètres!$A$1:$I$89,3,0)*VLOOKUP('Données projet'!$B$15,Paramètres!$A$1:$I$89,5,0)</f>
        <v>1.2710188457276673E-13</v>
      </c>
      <c r="EL57" s="13">
        <f t="shared" si="45"/>
        <v>1.856866851063998E-12</v>
      </c>
      <c r="EM57" s="20">
        <f t="shared" si="19"/>
        <v>3.4554122145673649E-12</v>
      </c>
      <c r="EN57" s="59">
        <f t="shared" si="20"/>
        <v>293.33333333333678</v>
      </c>
      <c r="EO57" s="59">
        <f ca="1">AVERAGE(OFFSET($EN$3,0,0,'Données projet'!$E$15+1,1))-AVERAGE(OFFSET($H$3,0,0,'Données projet'!$E$15+1,1))</f>
        <v>313.36787814924116</v>
      </c>
      <c r="EP57" s="59">
        <f t="shared" si="46"/>
        <v>438.72984487610216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273.21965058677733</v>
      </c>
      <c r="EW57" s="21">
        <f>EXP(-LN(2)/25)*EW56+(1-EXP(-LN(2)/25))/(LN(2)/25)*Calculateur!ER57*Calculateur!ET57*VLOOKUP('Données projet'!$B$15,Paramètres!$A$1:$I$89,3,0)*0.475*44/12</f>
        <v>55.906249534074462</v>
      </c>
      <c r="EX57" s="21">
        <f>EXP(-LN(2)/2)*EX56+(1-EXP(-LN(2)/2))/(LN(2)/2)*ER57*EU57*VLOOKUP('Données projet'!$B$15,Paramètres!$A$1:$I$89,3,0)*0.475*44/12</f>
        <v>9.4821367504824803</v>
      </c>
      <c r="EY57" s="22">
        <f t="shared" si="21"/>
        <v>338.60803687133426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135</v>
      </c>
      <c r="L58" s="12">
        <f>VLOOKUP(A58,'Données projet'!$A$35:$I$55,9,0)</f>
        <v>5.6</v>
      </c>
      <c r="M58" s="12">
        <f t="array" ref="M58">INDEX(L:L,MIN(IF(ISNUMBER(L58:L254),ROW(L58:L254),"")))</f>
        <v>5.6</v>
      </c>
      <c r="N58" s="13">
        <f>IF('Données projet'!$A$36&gt;35,N57+M58-V57,IF(A58&lt;'Données projet'!$A$36,$K$205^A58,IF(A58='Données projet'!$A$36,'Données projet'!$B$36,N57+M58-V57)))</f>
        <v>134.99999999999994</v>
      </c>
      <c r="O58" s="13">
        <f>N58*VLOOKUP('Données projet'!$B$9,Paramètres!$A$1:$I$89,3,0)*VLOOKUP('Données projet'!$B$9,Paramètres!$A$1:$I$89,5,0)</f>
        <v>122.14799999999995</v>
      </c>
      <c r="P58" s="13">
        <f t="shared" si="33"/>
        <v>32.175466547071615</v>
      </c>
      <c r="Q58" s="20">
        <f t="shared" si="53"/>
        <v>268.780037569483</v>
      </c>
      <c r="R58" s="59">
        <f t="shared" si="0"/>
        <v>562.11337090281631</v>
      </c>
      <c r="S58" s="59">
        <f ca="1">AVERAGE(OFFSET($R$3,0,0,'Données projet'!$E$9+1,1))-AVERAGE(OFFSET($H$3,0,0,'Données projet'!$E$9+1,1))</f>
        <v>173.91998182168385</v>
      </c>
      <c r="T58" s="59">
        <f t="shared" si="34"/>
        <v>72.011647893875363</v>
      </c>
      <c r="U58" s="15">
        <f>IF(ISNA(VLOOKUP(A58,'Données projet'!$A$35:$I$55,3,0)),0,VLOOKUP(A58,'Données projet'!$A$35:$I$55,3,0))</f>
        <v>7</v>
      </c>
      <c r="V58" s="15">
        <f>IF(ISNA(VLOOKUP(A58,'Données projet'!$A$35:$I$55,4,0)),0,VLOOKUP(A58,'Données projet'!$A$35:$I$55,4,0))</f>
        <v>14</v>
      </c>
      <c r="W58" s="16">
        <f>IF(ISNA(VLOOKUP(A58,'Données projet'!$A$35:$I$55,5,0)),0%,VLOOKUP(A58,'Données projet'!$A$35:$I$55,5,0)*VLOOKUP('Données projet'!$B$9,Paramètres!$A$1:$I$89,7,0))</f>
        <v>0.129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4.7798408191426072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4.7798408191426072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135</v>
      </c>
      <c r="AG58" s="12">
        <f>VLOOKUP(A58,'Données projet'!$A$61:$I$81,9,0)</f>
        <v>5.6</v>
      </c>
      <c r="AH58" s="12">
        <f t="array" ref="AH58">INDEX(AG:AG,MIN(IF(ISNUMBER(AG58:AG254),ROW(AG58:AG254),"")))</f>
        <v>5.6</v>
      </c>
      <c r="AI58" s="13">
        <f>IF('Données projet'!$A$62&gt;35,AI57+AH58-AQ57,IF(A58&lt;'Données projet'!$A$62,$AF$205^A58,IF(A58='Données projet'!$A$62,'Données projet'!$B$62,AI57+AH58-AQ57)))</f>
        <v>134.99999999999994</v>
      </c>
      <c r="AJ58" s="13">
        <f>AI58*VLOOKUP('Données projet'!$B$10,Paramètres!$A$1:$I$89,3,0)*VLOOKUP('Données projet'!$B$10,Paramètres!$A$1:$I$89,5,0)</f>
        <v>145.31399999999994</v>
      </c>
      <c r="AK58" s="13">
        <f t="shared" si="35"/>
        <v>37.511716231443025</v>
      </c>
      <c r="AL58" s="20">
        <f t="shared" si="4"/>
        <v>318.42145576976316</v>
      </c>
      <c r="AM58" s="59">
        <f t="shared" si="5"/>
        <v>611.75478910309653</v>
      </c>
      <c r="AN58" s="59">
        <f ca="1">AVERAGE(OFFSET($AM$3,0,0,'Données projet'!$E$10+1,1))-AVERAGE(OFFSET($H$3,0,0,'Données projet'!$E$10+1,1))</f>
        <v>150.9416300233616</v>
      </c>
      <c r="AO58" s="59">
        <f t="shared" si="36"/>
        <v>92.286636088269972</v>
      </c>
      <c r="AP58" s="15">
        <f>IF(ISNA(VLOOKUP(A58,'Données projet'!$A$61:$I$81,3,0)),0,VLOOKUP(A58,'Données projet'!$A$61:$I$81,3,0))</f>
        <v>7</v>
      </c>
      <c r="AQ58" s="15">
        <f>IF(ISNA(VLOOKUP(A58,'Données projet'!$A$61:$I$81,4,0)),0,VLOOKUP(A58,'Données projet'!$A$61:$I$81,4,0))</f>
        <v>14</v>
      </c>
      <c r="AR58" s="16">
        <f>IF(ISNA(VLOOKUP(A58,'Données projet'!$A$61:$I$81,5,0)),0%,VLOOKUP(A58,'Données projet'!$A$61:$I$81,5,0)*VLOOKUP('Données projet'!$B$10,Paramètres!$A$1:$I$89,7,0))</f>
        <v>0.215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9.0042789559554688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9.0042789559554688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135</v>
      </c>
      <c r="BB58" s="12">
        <f>VLOOKUP(A58,'Données projet'!$A$87:$I$107,9,0)</f>
        <v>5.6</v>
      </c>
      <c r="BC58" s="12">
        <f t="array" ref="BC58">INDEX(BB:BB,MIN(IF(ISNUMBER(BB58:BB254),ROW(BB58:BB254),"")))</f>
        <v>5.6</v>
      </c>
      <c r="BD58" s="12">
        <f>IF('Données projet'!$A$88&gt;35,BD57+BC58-BL57,IF(A58&lt;'Données projet'!$A$88,$BA$205^A58,IF(A58='Données projet'!$A$88,'Données projet'!$B$88,BD57+BC58-BL57)))</f>
        <v>134.99999999999994</v>
      </c>
      <c r="BE58" s="13">
        <f>BD58*VLOOKUP('Données projet'!$B$11,Paramètres!$A$1:$I$89,3,0)*VLOOKUP('Données projet'!$B$11,Paramètres!$A$1:$I$89,5,0)</f>
        <v>130.57199999999995</v>
      </c>
      <c r="BF58" s="13">
        <f t="shared" si="37"/>
        <v>34.12849794659828</v>
      </c>
      <c r="BG58" s="20">
        <f t="shared" si="7"/>
        <v>286.85336725699193</v>
      </c>
      <c r="BH58" s="59">
        <f t="shared" si="8"/>
        <v>580.18670059032524</v>
      </c>
      <c r="BI58" s="59">
        <f ca="1">AVERAGE(OFFSET($BH$3,0,0,'Données projet'!$E$11+1,1))-AVERAGE(OFFSET($H$3,0,0,'Données projet'!$E$11+1,1))</f>
        <v>131.02416800340484</v>
      </c>
      <c r="BJ58" s="59">
        <f t="shared" si="38"/>
        <v>79.394119001888555</v>
      </c>
      <c r="BK58" s="15">
        <f>IF(ISNA(VLOOKUP(A58,'Données projet'!$A$87:$I$107,3,0)),0,VLOOKUP(A58,'Données projet'!$A$87:$I$107,3,0))</f>
        <v>7</v>
      </c>
      <c r="BL58" s="15">
        <f>IF(ISNA(VLOOKUP(A58,'Données projet'!$A$87:$I$107,4,0)),0,VLOOKUP(A58,'Données projet'!$A$87:$I$107,4,0))</f>
        <v>14</v>
      </c>
      <c r="BM58" s="16">
        <f>IF(ISNA(VLOOKUP(A58,'Données projet'!$A$87:$I$107,5,0)),0%,VLOOKUP(A58,'Données projet'!$A$87:$I$107,5,0)*VLOOKUP('Données projet'!$B$11,Paramètres!$A$1:$I$89,7,0))</f>
        <v>0.215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8.0908013807136108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8.0908013807136108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135</v>
      </c>
      <c r="BW58" s="12">
        <f>VLOOKUP(A58,'Données projet'!$A$113:$I$133,9,0)</f>
        <v>5.6</v>
      </c>
      <c r="BX58" s="12">
        <f t="array" ref="BX58">INDEX(BW:BW,MIN(IF(ISNUMBER(BW58:BW254),ROW(BW58:BW254),"")))</f>
        <v>5.6</v>
      </c>
      <c r="BY58" s="12">
        <f>IF('Données projet'!$A$114&gt;35,BY57+BX58-CG57,IF(A58&lt;'Données projet'!$A$114,$BV$205^A58,IF(A58='Données projet'!$A$114,'Données projet'!$B$114,BY57+BX58-CG57)))</f>
        <v>134.99999999999994</v>
      </c>
      <c r="BZ58" s="13">
        <f>BY58*VLOOKUP('Données projet'!$B$12,Paramètres!$A$1:$I$89,3,0)*VLOOKUP('Données projet'!$B$12,Paramètres!$A$1:$I$89,5,0)</f>
        <v>122.14799999999995</v>
      </c>
      <c r="CA58" s="13">
        <f t="shared" si="39"/>
        <v>32.175466547071615</v>
      </c>
      <c r="CB58" s="20">
        <f t="shared" si="10"/>
        <v>268.780037569483</v>
      </c>
      <c r="CC58" s="59">
        <f t="shared" si="11"/>
        <v>562.11337090281631</v>
      </c>
      <c r="CD58" s="59">
        <f ca="1">AVERAGE(OFFSET($CC$3,0,0,'Données projet'!$E$12+1,1))-AVERAGE(OFFSET($H$3,0,0,'Données projet'!$E$12+1,1))</f>
        <v>119.62076457560073</v>
      </c>
      <c r="CE58" s="59">
        <f t="shared" si="40"/>
        <v>72.011647893875363</v>
      </c>
      <c r="CF58" s="15">
        <f>IF(ISNA(VLOOKUP(A58,'Données projet'!$A$113:$I$133,3,0)),0,VLOOKUP(A58,'Données projet'!$A$113:$I$133,3,0))</f>
        <v>7</v>
      </c>
      <c r="CG58" s="15">
        <f>IF(ISNA(VLOOKUP(A58,'Données projet'!$A$113:$I$133,4,0)),0,VLOOKUP(A58,'Données projet'!$A$113:$I$133,4,0))</f>
        <v>14</v>
      </c>
      <c r="CH58" s="16">
        <f>IF(ISNA(VLOOKUP(A58,'Données projet'!$A$113:$I$133,5,0)),0%,VLOOKUP(A58,'Données projet'!$A$113:$I$133,5,0)*VLOOKUP('Données projet'!$B$12,Paramètres!$A$1:$I$89,7,0))</f>
        <v>0.215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7.5688141948611189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7.5688141948611189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135</v>
      </c>
      <c r="CR58" s="12">
        <f>VLOOKUP(A58,'Données projet'!$A$139:$I$159,9,0)</f>
        <v>5.6</v>
      </c>
      <c r="CS58" s="12">
        <f t="array" ref="CS58">INDEX(CR:CR,MIN(IF(ISNUMBER(CR58:CR254),ROW(CR58:CR254),"")))</f>
        <v>5.6</v>
      </c>
      <c r="CT58" s="12">
        <f>IF('Données projet'!$A$140&gt;35,CT57+CS58-DB57,IF(A58&lt;'Données projet'!$A$140,$CQ$205^A58,IF(A58='Données projet'!$A$140,'Données projet'!$B$140,CT57+CS58-DB57)))</f>
        <v>134.99999999999994</v>
      </c>
      <c r="CU58" s="17">
        <f>CT58*VLOOKUP('Données projet'!$B$13,Paramètres!$A$1:$I$89,3,0)*VLOOKUP('Données projet'!$B$13,Paramètres!$A$1:$I$89,5,0)</f>
        <v>145.31399999999994</v>
      </c>
      <c r="CV58" s="13">
        <f t="shared" si="41"/>
        <v>37.511716231443025</v>
      </c>
      <c r="CW58" s="20">
        <f t="shared" si="13"/>
        <v>318.42145576976316</v>
      </c>
      <c r="CX58" s="59">
        <f t="shared" si="14"/>
        <v>611.75478910309653</v>
      </c>
      <c r="CY58" s="59">
        <f ca="1">AVERAGE(OFFSET($CX$3,0,0,'Données projet'!$E$13+1,1))-AVERAGE(OFFSET($H$3,0,0,'Données projet'!$E$13+1,1))</f>
        <v>150.9416300233616</v>
      </c>
      <c r="CZ58" s="59">
        <f t="shared" si="42"/>
        <v>92.286636088269972</v>
      </c>
      <c r="DA58" s="15">
        <f>IF(ISNA(VLOOKUP(A58,'Données projet'!$A$139:$I$159,3,0)),0,VLOOKUP(A58,'Données projet'!$A$139:$I$159,3,0))</f>
        <v>7</v>
      </c>
      <c r="DB58" s="15">
        <f>IF(ISNA(VLOOKUP(A58,'Données projet'!$A$139:$I$159,4,0)),0,VLOOKUP(A58,'Données projet'!$A$139:$I$159,4,0))</f>
        <v>14</v>
      </c>
      <c r="DC58" s="16">
        <f>IF(ISNA(VLOOKUP(A58,'Données projet'!$A$139:$I$159,5,0)),0%,VLOOKUP(A58,'Données projet'!$A$139:$I$159,5,0)*VLOOKUP('Données projet'!$B$13,Paramètres!$A$1:$I$89,7,0))</f>
        <v>0.215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9.0042789559554688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9.0042789559554688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385</v>
      </c>
      <c r="DM58" s="12">
        <f>VLOOKUP(A58,'Données projet'!$A$165:$I$185,9,0)</f>
        <v>13.2</v>
      </c>
      <c r="DN58" s="12">
        <f t="array" ref="DN58">INDEX(DM:DM,MIN(IF(ISNUMBER(DM58:DM254),ROW(DM58:DM254),"")))</f>
        <v>13.2</v>
      </c>
      <c r="DO58" s="12">
        <f>IF('Données projet'!$A$166&gt;35,DO57+DN58-DW57,IF(A58&lt;'Données projet'!$A$166,$DL$205^A58,IF(A58='Données projet'!$A$166,'Données projet'!$B$166,DO57+DN58-DW57)))</f>
        <v>384.99999999999966</v>
      </c>
      <c r="DP58" s="17">
        <f>DO58*VLOOKUP('Données projet'!$B$14,Paramètres!$A$1:$I$89,3,0)*VLOOKUP('Données projet'!$B$14,Paramètres!$A$1:$I$89,5,0)</f>
        <v>230.22999999999982</v>
      </c>
      <c r="DQ58" s="13">
        <f t="shared" si="43"/>
        <v>56.33241001525225</v>
      </c>
      <c r="DR58" s="20">
        <f t="shared" si="16"/>
        <v>499.09619744323066</v>
      </c>
      <c r="DS58" s="59">
        <f t="shared" si="17"/>
        <v>792.42953077656398</v>
      </c>
      <c r="DT58" s="59">
        <f ca="1">AVERAGE(OFFSET($DS$3,0,0,'Données projet'!$E$14+1,1))-AVERAGE(OFFSET($H$3,0,0,'Données projet'!$E$14+1,1))</f>
        <v>249.22792522076639</v>
      </c>
      <c r="DU58" s="59">
        <f t="shared" si="44"/>
        <v>244.53725944480669</v>
      </c>
      <c r="DV58" s="15">
        <f>IF(ISNA(VLOOKUP(A58,'Données projet'!$A$165:$I$185,3,0)),0,VLOOKUP(A58,'Données projet'!$A$165:$I$185,3,0))</f>
        <v>9</v>
      </c>
      <c r="DW58" s="15">
        <f>IF(ISNA(VLOOKUP(A58,'Données projet'!$A$165:$I$185,4,0)),0,VLOOKUP(A58,'Données projet'!$A$165:$I$185,4,0))</f>
        <v>34</v>
      </c>
      <c r="DX58" s="16">
        <f>IF(ISNA(VLOOKUP(A58,'Données projet'!$A$165:$I$185,5,0)),0%,VLOOKUP(A58,'Données projet'!$A$165:$I$185,5,0)*VLOOKUP('Données projet'!$B$14,Paramètres!$A$1:$I$89,7,0))</f>
        <v>0.27</v>
      </c>
      <c r="DY58" s="16">
        <f>IF(ISNA(VLOOKUP(A58,'Données projet'!$A$165:$I$185,6,0)),0%,VLOOKUP(A58,'Données projet'!$A$165:$I$185,6,0)*VLOOKUP('Données projet'!$B$14,Paramètres!$A$1:$I$89,7,0))</f>
        <v>9.9000000000000005E-2</v>
      </c>
      <c r="DZ58" s="16">
        <f>IF(ISNA(VLOOKUP(A58,'Données projet'!$A$165:$I$185,7,0)),0%,VLOOKUP(A58,'Données projet'!$A$165:$I$185,7,0))</f>
        <v>0.18</v>
      </c>
      <c r="EA58" s="21">
        <f>EXP(-LN(2)/35)*EA57+(1-EXP(-LN(2)/35))/(LN(2)/35)*DW58*DX58*VLOOKUP('Données projet'!$B$14,Paramètres!$A$1:$I$89,3,0)*0.475*44/12</f>
        <v>37.757040927728468</v>
      </c>
      <c r="EB58" s="21">
        <f>EXP(-LN(2)/25)*EB57+(1-EXP(-LN(2)/25))/(LN(2)/25)*Calculateur!DW58*Calculateur!DY58*VLOOKUP('Données projet'!$B$14,Paramètres!$A$1:$I$89,3,0)*0.475*44/12</f>
        <v>20.696263773952868</v>
      </c>
      <c r="EC58" s="21">
        <f>EXP(-LN(2)/2)*EC57+(1-EXP(-LN(2)/2))/(LN(2)/2)*DW58*DZ58*VLOOKUP('Données projet'!$B$14,Paramètres!$A$1:$I$89,3,0)*0.475*44/12</f>
        <v>5.2443355177043012</v>
      </c>
      <c r="ED58" s="22">
        <f t="shared" si="18"/>
        <v>63.697640219385633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2.2737367544323206E-13</v>
      </c>
      <c r="EK58" s="17">
        <f>EJ58*VLOOKUP('Données projet'!$B$15,Paramètres!$A$1:$I$89,3,0)*VLOOKUP('Données projet'!$B$15,Paramètres!$A$1:$I$89,5,0)</f>
        <v>1.2710188457276673E-13</v>
      </c>
      <c r="EL58" s="13">
        <f t="shared" si="45"/>
        <v>1.856866851063998E-12</v>
      </c>
      <c r="EM58" s="20">
        <f t="shared" si="19"/>
        <v>3.4554122145673649E-12</v>
      </c>
      <c r="EN58" s="59">
        <f t="shared" si="20"/>
        <v>293.33333333333678</v>
      </c>
      <c r="EO58" s="59">
        <f ca="1">AVERAGE(OFFSET($EN$3,0,0,'Données projet'!$E$15+1,1))-AVERAGE(OFFSET($H$3,0,0,'Données projet'!$E$15+1,1))</f>
        <v>313.36787814924116</v>
      </c>
      <c r="EP58" s="59">
        <f t="shared" si="46"/>
        <v>438.72984487610216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267.86197988630244</v>
      </c>
      <c r="EW58" s="21">
        <f>EXP(-LN(2)/25)*EW57+(1-EXP(-LN(2)/25))/(LN(2)/25)*Calculateur!ER58*Calculateur!ET58*VLOOKUP('Données projet'!$B$15,Paramètres!$A$1:$I$89,3,0)*0.475*44/12</f>
        <v>54.37749020058331</v>
      </c>
      <c r="EX58" s="21">
        <f>EXP(-LN(2)/2)*EX57+(1-EXP(-LN(2)/2))/(LN(2)/2)*ER58*EU58*VLOOKUP('Données projet'!$B$15,Paramètres!$A$1:$I$89,3,0)*0.475*44/12</f>
        <v>6.7048831964043361</v>
      </c>
      <c r="EY58" s="22">
        <f t="shared" si="21"/>
        <v>328.94435328329007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5.4</v>
      </c>
      <c r="N59" s="13">
        <f>IF('Données projet'!$A$36&gt;35,N58+M59-V58,IF(A59&lt;'Données projet'!$A$36,$K$205^A59,IF(A59='Données projet'!$A$36,'Données projet'!$B$36,N58+M59-V58)))</f>
        <v>126.39999999999995</v>
      </c>
      <c r="O59" s="13">
        <f>N59*VLOOKUP('Données projet'!$B$9,Paramètres!$A$1:$I$89,3,0)*VLOOKUP('Données projet'!$B$9,Paramètres!$A$1:$I$89,5,0)</f>
        <v>114.36671999999996</v>
      </c>
      <c r="P59" s="13">
        <f t="shared" si="33"/>
        <v>30.357475250812541</v>
      </c>
      <c r="Q59" s="20">
        <f t="shared" si="53"/>
        <v>252.06130672849841</v>
      </c>
      <c r="R59" s="59">
        <f t="shared" si="0"/>
        <v>545.39464006183175</v>
      </c>
      <c r="S59" s="59">
        <f ca="1">AVERAGE(OFFSET($R$3,0,0,'Données projet'!$E$9+1,1))-AVERAGE(OFFSET($H$3,0,0,'Données projet'!$E$9+1,1))</f>
        <v>173.91998182168385</v>
      </c>
      <c r="T59" s="59">
        <f t="shared" si="34"/>
        <v>72.011647893875363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4.6861110560942469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4.6861110560942469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5.4</v>
      </c>
      <c r="AI59" s="13">
        <f>IF('Données projet'!$A$62&gt;35,AI58+AH59-AQ58,IF(A59&lt;'Données projet'!$A$62,$AF$205^A59,IF(A59='Données projet'!$A$62,'Données projet'!$B$62,AI58+AH59-AQ58)))</f>
        <v>126.39999999999995</v>
      </c>
      <c r="AJ59" s="13">
        <f>AI59*VLOOKUP('Données projet'!$B$10,Paramètres!$A$1:$I$89,3,0)*VLOOKUP('Données projet'!$B$10,Paramètres!$A$1:$I$89,5,0)</f>
        <v>136.05695999999992</v>
      </c>
      <c r="AK59" s="13">
        <f t="shared" si="35"/>
        <v>35.392213985322201</v>
      </c>
      <c r="AL59" s="20">
        <f t="shared" si="4"/>
        <v>298.60731135776933</v>
      </c>
      <c r="AM59" s="59">
        <f t="shared" si="5"/>
        <v>591.94064469110265</v>
      </c>
      <c r="AN59" s="59">
        <f ca="1">AVERAGE(OFFSET($AM$3,0,0,'Données projet'!$E$10+1,1))-AVERAGE(OFFSET($H$3,0,0,'Données projet'!$E$10+1,1))</f>
        <v>150.9416300233616</v>
      </c>
      <c r="AO59" s="59">
        <f t="shared" si="36"/>
        <v>92.286636088269972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8.8277105376970493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8.8277105376970493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5.4</v>
      </c>
      <c r="BD59" s="12">
        <f>IF('Données projet'!$A$88&gt;35,BD58+BC59-BL58,IF(A59&lt;'Données projet'!$A$88,$BA$205^A59,IF(A59='Données projet'!$A$88,'Données projet'!$B$88,BD58+BC59-BL58)))</f>
        <v>126.39999999999995</v>
      </c>
      <c r="BE59" s="13">
        <f>BD59*VLOOKUP('Données projet'!$B$11,Paramètres!$A$1:$I$89,3,0)*VLOOKUP('Données projet'!$B$11,Paramètres!$A$1:$I$89,5,0)</f>
        <v>122.25407999999995</v>
      </c>
      <c r="BF59" s="13">
        <f t="shared" si="37"/>
        <v>32.20015567592624</v>
      </c>
      <c r="BG59" s="20">
        <f t="shared" si="7"/>
        <v>269.0077938022381</v>
      </c>
      <c r="BH59" s="59">
        <f t="shared" si="8"/>
        <v>562.34112713557147</v>
      </c>
      <c r="BI59" s="59">
        <f ca="1">AVERAGE(OFFSET($BH$3,0,0,'Données projet'!$E$11+1,1))-AVERAGE(OFFSET($H$3,0,0,'Données projet'!$E$11+1,1))</f>
        <v>131.02416800340484</v>
      </c>
      <c r="BJ59" s="59">
        <f t="shared" si="38"/>
        <v>79.394119001888555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7.9321457005393778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7.9321457005393778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5.4</v>
      </c>
      <c r="BY59" s="12">
        <f>IF('Données projet'!$A$114&gt;35,BY58+BX59-CG58,IF(A59&lt;'Données projet'!$A$114,$BV$205^A59,IF(A59='Données projet'!$A$114,'Données projet'!$B$114,BY58+BX59-CG58)))</f>
        <v>126.39999999999995</v>
      </c>
      <c r="BZ59" s="13">
        <f>BY59*VLOOKUP('Données projet'!$B$12,Paramètres!$A$1:$I$89,3,0)*VLOOKUP('Données projet'!$B$12,Paramètres!$A$1:$I$89,5,0)</f>
        <v>114.36671999999996</v>
      </c>
      <c r="CA59" s="13">
        <f t="shared" si="39"/>
        <v>30.357475250812541</v>
      </c>
      <c r="CB59" s="20">
        <f t="shared" si="10"/>
        <v>252.06130672849841</v>
      </c>
      <c r="CC59" s="59">
        <f t="shared" si="11"/>
        <v>545.39464006183175</v>
      </c>
      <c r="CD59" s="59">
        <f ca="1">AVERAGE(OFFSET($CC$3,0,0,'Données projet'!$E$12+1,1))-AVERAGE(OFFSET($H$3,0,0,'Données projet'!$E$12+1,1))</f>
        <v>119.62076457560073</v>
      </c>
      <c r="CE59" s="59">
        <f t="shared" si="40"/>
        <v>72.011647893875363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7.4203943650207078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7.4203943650207078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5.4</v>
      </c>
      <c r="CT59" s="12">
        <f>IF('Données projet'!$A$140&gt;35,CT58+CS59-DB58,IF(A59&lt;'Données projet'!$A$140,$CQ$205^A59,IF(A59='Données projet'!$A$140,'Données projet'!$B$140,CT58+CS59-DB58)))</f>
        <v>126.39999999999995</v>
      </c>
      <c r="CU59" s="17">
        <f>CT59*VLOOKUP('Données projet'!$B$13,Paramètres!$A$1:$I$89,3,0)*VLOOKUP('Données projet'!$B$13,Paramètres!$A$1:$I$89,5,0)</f>
        <v>136.05695999999992</v>
      </c>
      <c r="CV59" s="13">
        <f t="shared" si="41"/>
        <v>35.392213985322201</v>
      </c>
      <c r="CW59" s="20">
        <f t="shared" si="13"/>
        <v>298.60731135776933</v>
      </c>
      <c r="CX59" s="59">
        <f t="shared" si="14"/>
        <v>591.94064469110265</v>
      </c>
      <c r="CY59" s="59">
        <f ca="1">AVERAGE(OFFSET($CX$3,0,0,'Données projet'!$E$13+1,1))-AVERAGE(OFFSET($H$3,0,0,'Données projet'!$E$13+1,1))</f>
        <v>150.9416300233616</v>
      </c>
      <c r="CZ59" s="59">
        <f t="shared" si="42"/>
        <v>92.286636088269972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8.8277105376970493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8.8277105376970493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12.4</v>
      </c>
      <c r="DO59" s="12">
        <f>IF('Données projet'!$A$166&gt;35,DO58+DN59-DW58,IF(A59&lt;'Données projet'!$A$166,$DL$205^A59,IF(A59='Données projet'!$A$166,'Données projet'!$B$166,DO58+DN59-DW58)))</f>
        <v>363.39999999999964</v>
      </c>
      <c r="DP59" s="17">
        <f>DO59*VLOOKUP('Données projet'!$B$14,Paramètres!$A$1:$I$89,3,0)*VLOOKUP('Données projet'!$B$14,Paramètres!$A$1:$I$89,5,0)</f>
        <v>217.3131999999998</v>
      </c>
      <c r="DQ59" s="13">
        <f t="shared" si="43"/>
        <v>53.530506047441698</v>
      </c>
      <c r="DR59" s="20">
        <f t="shared" si="16"/>
        <v>471.71945469929392</v>
      </c>
      <c r="DS59" s="59">
        <f t="shared" si="17"/>
        <v>765.05278803262718</v>
      </c>
      <c r="DT59" s="59">
        <f ca="1">AVERAGE(OFFSET($DS$3,0,0,'Données projet'!$E$14+1,1))-AVERAGE(OFFSET($H$3,0,0,'Données projet'!$E$14+1,1))</f>
        <v>249.22792522076639</v>
      </c>
      <c r="DU59" s="59">
        <f t="shared" si="44"/>
        <v>244.53725944480669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37.016648384656705</v>
      </c>
      <c r="EB59" s="21">
        <f>EXP(-LN(2)/25)*EB58+(1-EXP(-LN(2)/25))/(LN(2)/25)*Calculateur!DW59*Calculateur!DY59*VLOOKUP('Données projet'!$B$14,Paramètres!$A$1:$I$89,3,0)*0.475*44/12</f>
        <v>20.130323352684918</v>
      </c>
      <c r="EC59" s="21">
        <f>EXP(-LN(2)/2)*EC58+(1-EXP(-LN(2)/2))/(LN(2)/2)*DW59*DZ59*VLOOKUP('Données projet'!$B$14,Paramètres!$A$1:$I$89,3,0)*0.475*44/12</f>
        <v>3.7083052073861751</v>
      </c>
      <c r="ED59" s="22">
        <f t="shared" si="18"/>
        <v>60.855276944727798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2.2737367544323206E-13</v>
      </c>
      <c r="EK59" s="17">
        <f>EJ59*VLOOKUP('Données projet'!$B$15,Paramètres!$A$1:$I$89,3,0)*VLOOKUP('Données projet'!$B$15,Paramètres!$A$1:$I$89,5,0)</f>
        <v>1.2710188457276673E-13</v>
      </c>
      <c r="EL59" s="13">
        <f t="shared" si="45"/>
        <v>1.856866851063998E-12</v>
      </c>
      <c r="EM59" s="20">
        <f t="shared" si="19"/>
        <v>3.4554122145673649E-12</v>
      </c>
      <c r="EN59" s="59">
        <f t="shared" si="20"/>
        <v>293.33333333333678</v>
      </c>
      <c r="EO59" s="59">
        <f ca="1">AVERAGE(OFFSET($EN$3,0,0,'Données projet'!$E$15+1,1))-AVERAGE(OFFSET($H$3,0,0,'Données projet'!$E$15+1,1))</f>
        <v>313.36787814924116</v>
      </c>
      <c r="EP59" s="59">
        <f t="shared" si="46"/>
        <v>438.72984487610216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262.6093698404074</v>
      </c>
      <c r="EW59" s="21">
        <f>EXP(-LN(2)/25)*EW58+(1-EXP(-LN(2)/25))/(LN(2)/25)*Calculateur!ER59*Calculateur!ET59*VLOOKUP('Données projet'!$B$15,Paramètres!$A$1:$I$89,3,0)*0.475*44/12</f>
        <v>52.890534871460432</v>
      </c>
      <c r="EX59" s="21">
        <f>EXP(-LN(2)/2)*EX58+(1-EXP(-LN(2)/2))/(LN(2)/2)*ER59*EU59*VLOOKUP('Données projet'!$B$15,Paramètres!$A$1:$I$89,3,0)*0.475*44/12</f>
        <v>4.7410683752412401</v>
      </c>
      <c r="EY59" s="22">
        <f t="shared" si="21"/>
        <v>320.24097308710907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5.4</v>
      </c>
      <c r="N60" s="13">
        <f>IF('Données projet'!$A$36&gt;35,N59+M60-V59,IF(A60&lt;'Données projet'!$A$36,$K$205^A60,IF(A60='Données projet'!$A$36,'Données projet'!$B$36,N59+M60-V59)))</f>
        <v>131.79999999999995</v>
      </c>
      <c r="O60" s="13">
        <f>N60*VLOOKUP('Données projet'!$B$9,Paramètres!$A$1:$I$89,3,0)*VLOOKUP('Données projet'!$B$9,Paramètres!$A$1:$I$89,5,0)</f>
        <v>119.25263999999996</v>
      </c>
      <c r="P60" s="13">
        <f t="shared" si="33"/>
        <v>31.500626518374347</v>
      </c>
      <c r="Q60" s="20">
        <f t="shared" si="53"/>
        <v>262.56193918616856</v>
      </c>
      <c r="R60" s="59">
        <f t="shared" si="0"/>
        <v>555.89527251950187</v>
      </c>
      <c r="S60" s="59">
        <f ca="1">AVERAGE(OFFSET($R$3,0,0,'Données projet'!$E$9+1,1))-AVERAGE(OFFSET($H$3,0,0,'Données projet'!$E$9+1,1))</f>
        <v>173.91998182168385</v>
      </c>
      <c r="T60" s="59">
        <f t="shared" si="34"/>
        <v>72.011647893875363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4.5942192765297545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4.5942192765297545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5.4</v>
      </c>
      <c r="AI60" s="13">
        <f>IF('Données projet'!$A$62&gt;35,AI59+AH60-AQ59,IF(A60&lt;'Données projet'!$A$62,$AF$205^A60,IF(A60='Données projet'!$A$62,'Données projet'!$B$62,AI59+AH60-AQ59)))</f>
        <v>131.79999999999995</v>
      </c>
      <c r="AJ60" s="13">
        <f>AI60*VLOOKUP('Données projet'!$B$10,Paramètres!$A$1:$I$89,3,0)*VLOOKUP('Données projet'!$B$10,Paramètres!$A$1:$I$89,5,0)</f>
        <v>141.86951999999994</v>
      </c>
      <c r="AK60" s="13">
        <f t="shared" si="35"/>
        <v>36.724955062927357</v>
      </c>
      <c r="AL60" s="20">
        <f t="shared" si="4"/>
        <v>311.05204406793172</v>
      </c>
      <c r="AM60" s="59">
        <f t="shared" si="5"/>
        <v>604.38537740126503</v>
      </c>
      <c r="AN60" s="59">
        <f ca="1">AVERAGE(OFFSET($AM$3,0,0,'Données projet'!$E$10+1,1))-AVERAGE(OFFSET($H$3,0,0,'Données projet'!$E$10+1,1))</f>
        <v>150.9416300233616</v>
      </c>
      <c r="AO60" s="59">
        <f t="shared" si="36"/>
        <v>92.286636088269972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8.6546045184245752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8.6546045184245752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5.4</v>
      </c>
      <c r="BD60" s="12">
        <f>IF('Données projet'!$A$88&gt;35,BD59+BC60-BL59,IF(A60&lt;'Données projet'!$A$88,$BA$205^A60,IF(A60='Données projet'!$A$88,'Données projet'!$B$88,BD59+BC60-BL59)))</f>
        <v>131.79999999999995</v>
      </c>
      <c r="BE60" s="13">
        <f>BD60*VLOOKUP('Données projet'!$B$11,Paramètres!$A$1:$I$89,3,0)*VLOOKUP('Données projet'!$B$11,Paramètres!$A$1:$I$89,5,0)</f>
        <v>127.47695999999995</v>
      </c>
      <c r="BF60" s="13">
        <f t="shared" si="37"/>
        <v>33.412695535466739</v>
      </c>
      <c r="BG60" s="20">
        <f t="shared" si="7"/>
        <v>280.21615005760447</v>
      </c>
      <c r="BH60" s="59">
        <f t="shared" si="8"/>
        <v>573.54948339093778</v>
      </c>
      <c r="BI60" s="59">
        <f ca="1">AVERAGE(OFFSET($BH$3,0,0,'Données projet'!$E$11+1,1))-AVERAGE(OFFSET($H$3,0,0,'Données projet'!$E$11+1,1))</f>
        <v>131.02416800340484</v>
      </c>
      <c r="BJ60" s="59">
        <f t="shared" si="38"/>
        <v>79.394119001888555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7.7766011614829518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7.7766011614829518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5.4</v>
      </c>
      <c r="BY60" s="12">
        <f>IF('Données projet'!$A$114&gt;35,BY59+BX60-CG59,IF(A60&lt;'Données projet'!$A$114,$BV$205^A60,IF(A60='Données projet'!$A$114,'Données projet'!$B$114,BY59+BX60-CG59)))</f>
        <v>131.79999999999995</v>
      </c>
      <c r="BZ60" s="13">
        <f>BY60*VLOOKUP('Données projet'!$B$12,Paramètres!$A$1:$I$89,3,0)*VLOOKUP('Données projet'!$B$12,Paramètres!$A$1:$I$89,5,0)</f>
        <v>119.25263999999996</v>
      </c>
      <c r="CA60" s="13">
        <f t="shared" si="39"/>
        <v>31.500626518374347</v>
      </c>
      <c r="CB60" s="20">
        <f t="shared" si="10"/>
        <v>262.56193918616856</v>
      </c>
      <c r="CC60" s="59">
        <f t="shared" si="11"/>
        <v>555.89527251950187</v>
      </c>
      <c r="CD60" s="59">
        <f ca="1">AVERAGE(OFFSET($CC$3,0,0,'Données projet'!$E$12+1,1))-AVERAGE(OFFSET($H$3,0,0,'Données projet'!$E$12+1,1))</f>
        <v>119.62076457560073</v>
      </c>
      <c r="CE60" s="59">
        <f t="shared" si="40"/>
        <v>72.011647893875363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7.2748849575163099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7.2748849575163099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5.4</v>
      </c>
      <c r="CT60" s="12">
        <f>IF('Données projet'!$A$140&gt;35,CT59+CS60-DB59,IF(A60&lt;'Données projet'!$A$140,$CQ$205^A60,IF(A60='Données projet'!$A$140,'Données projet'!$B$140,CT59+CS60-DB59)))</f>
        <v>131.79999999999995</v>
      </c>
      <c r="CU60" s="17">
        <f>CT60*VLOOKUP('Données projet'!$B$13,Paramètres!$A$1:$I$89,3,0)*VLOOKUP('Données projet'!$B$13,Paramètres!$A$1:$I$89,5,0)</f>
        <v>141.86951999999994</v>
      </c>
      <c r="CV60" s="13">
        <f t="shared" si="41"/>
        <v>36.724955062927357</v>
      </c>
      <c r="CW60" s="20">
        <f t="shared" si="13"/>
        <v>311.05204406793172</v>
      </c>
      <c r="CX60" s="59">
        <f t="shared" si="14"/>
        <v>604.38537740126503</v>
      </c>
      <c r="CY60" s="59">
        <f ca="1">AVERAGE(OFFSET($CX$3,0,0,'Données projet'!$E$13+1,1))-AVERAGE(OFFSET($H$3,0,0,'Données projet'!$E$13+1,1))</f>
        <v>150.9416300233616</v>
      </c>
      <c r="CZ60" s="59">
        <f t="shared" si="42"/>
        <v>92.286636088269972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8.6546045184245752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8.6546045184245752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12.4</v>
      </c>
      <c r="DO60" s="12">
        <f>IF('Données projet'!$A$166&gt;35,DO59+DN60-DW59,IF(A60&lt;'Données projet'!$A$166,$DL$205^A60,IF(A60='Données projet'!$A$166,'Données projet'!$B$166,DO59+DN60-DW59)))</f>
        <v>375.79999999999961</v>
      </c>
      <c r="DP60" s="17">
        <f>DO60*VLOOKUP('Données projet'!$B$14,Paramètres!$A$1:$I$89,3,0)*VLOOKUP('Données projet'!$B$14,Paramètres!$A$1:$I$89,5,0)</f>
        <v>224.72839999999977</v>
      </c>
      <c r="DQ60" s="13">
        <f t="shared" si="43"/>
        <v>55.14130474591758</v>
      </c>
      <c r="DR60" s="20">
        <f t="shared" si="16"/>
        <v>487.43973576580606</v>
      </c>
      <c r="DS60" s="59">
        <f t="shared" si="17"/>
        <v>780.77306909913932</v>
      </c>
      <c r="DT60" s="59">
        <f ca="1">AVERAGE(OFFSET($DS$3,0,0,'Données projet'!$E$14+1,1))-AVERAGE(OFFSET($H$3,0,0,'Données projet'!$E$14+1,1))</f>
        <v>249.22792522076639</v>
      </c>
      <c r="DU60" s="59">
        <f t="shared" si="44"/>
        <v>244.53725944480669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36.29077448775972</v>
      </c>
      <c r="EB60" s="21">
        <f>EXP(-LN(2)/25)*EB59+(1-EXP(-LN(2)/25))/(LN(2)/25)*Calculateur!DW60*Calculateur!DY60*VLOOKUP('Données projet'!$B$14,Paramètres!$A$1:$I$89,3,0)*0.475*44/12</f>
        <v>19.579858601998051</v>
      </c>
      <c r="EC60" s="21">
        <f>EXP(-LN(2)/2)*EC59+(1-EXP(-LN(2)/2))/(LN(2)/2)*DW60*DZ60*VLOOKUP('Données projet'!$B$14,Paramètres!$A$1:$I$89,3,0)*0.475*44/12</f>
        <v>2.622167758852151</v>
      </c>
      <c r="ED60" s="22">
        <f t="shared" si="18"/>
        <v>58.492800848609924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2.2737367544323206E-13</v>
      </c>
      <c r="EK60" s="17">
        <f>EJ60*VLOOKUP('Données projet'!$B$15,Paramètres!$A$1:$I$89,3,0)*VLOOKUP('Données projet'!$B$15,Paramètres!$A$1:$I$89,5,0)</f>
        <v>1.2710188457276673E-13</v>
      </c>
      <c r="EL60" s="13">
        <f t="shared" si="45"/>
        <v>1.856866851063998E-12</v>
      </c>
      <c r="EM60" s="20">
        <f t="shared" si="19"/>
        <v>3.4554122145673649E-12</v>
      </c>
      <c r="EN60" s="59">
        <f t="shared" si="20"/>
        <v>293.33333333333678</v>
      </c>
      <c r="EO60" s="59">
        <f ca="1">AVERAGE(OFFSET($EN$3,0,0,'Données projet'!$E$15+1,1))-AVERAGE(OFFSET($H$3,0,0,'Données projet'!$E$15+1,1))</f>
        <v>313.36787814924116</v>
      </c>
      <c r="EP60" s="59">
        <f t="shared" si="46"/>
        <v>438.72984487610216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257.45976027373655</v>
      </c>
      <c r="EW60" s="21">
        <f>EXP(-LN(2)/25)*EW59+(1-EXP(-LN(2)/25))/(LN(2)/25)*Calculateur!ER60*Calculateur!ET60*VLOOKUP('Données projet'!$B$15,Paramètres!$A$1:$I$89,3,0)*0.475*44/12</f>
        <v>51.444240414008</v>
      </c>
      <c r="EX60" s="21">
        <f>EXP(-LN(2)/2)*EX59+(1-EXP(-LN(2)/2))/(LN(2)/2)*ER60*EU60*VLOOKUP('Données projet'!$B$15,Paramètres!$A$1:$I$89,3,0)*0.475*44/12</f>
        <v>3.352441598202168</v>
      </c>
      <c r="EY60" s="22">
        <f t="shared" si="21"/>
        <v>312.25644228594672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5.4</v>
      </c>
      <c r="N61" s="13">
        <f>IF('Données projet'!$A$36&gt;35,N60+M61-V60,IF(A61&lt;'Données projet'!$A$36,$K$205^A61,IF(A61='Données projet'!$A$36,'Données projet'!$B$36,N60+M61-V60)))</f>
        <v>137.19999999999996</v>
      </c>
      <c r="O61" s="13">
        <f>N61*VLOOKUP('Données projet'!$B$9,Paramètres!$A$1:$I$89,3,0)*VLOOKUP('Données projet'!$B$9,Paramètres!$A$1:$I$89,5,0)</f>
        <v>124.13855999999996</v>
      </c>
      <c r="P61" s="13">
        <f t="shared" si="33"/>
        <v>32.638337418917978</v>
      </c>
      <c r="Q61" s="20">
        <f t="shared" si="53"/>
        <v>273.05309633794872</v>
      </c>
      <c r="R61" s="59">
        <f t="shared" si="0"/>
        <v>566.38642967128203</v>
      </c>
      <c r="S61" s="59">
        <f ca="1">AVERAGE(OFFSET($R$3,0,0,'Données projet'!$E$9+1,1))-AVERAGE(OFFSET($H$3,0,0,'Données projet'!$E$9+1,1))</f>
        <v>173.91998182168385</v>
      </c>
      <c r="T61" s="59">
        <f t="shared" si="34"/>
        <v>72.011647893875363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4.5041294387140711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4.5041294387140711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5.4</v>
      </c>
      <c r="AI61" s="13">
        <f>IF('Données projet'!$A$62&gt;35,AI60+AH61-AQ60,IF(A61&lt;'Données projet'!$A$62,$AF$205^A61,IF(A61='Données projet'!$A$62,'Données projet'!$B$62,AI60+AH61-AQ60)))</f>
        <v>137.19999999999996</v>
      </c>
      <c r="AJ61" s="13">
        <f>AI61*VLOOKUP('Données projet'!$B$10,Paramètres!$A$1:$I$89,3,0)*VLOOKUP('Données projet'!$B$10,Paramètres!$A$1:$I$89,5,0)</f>
        <v>147.68207999999996</v>
      </c>
      <c r="AK61" s="13">
        <f t="shared" si="35"/>
        <v>38.051353497342525</v>
      </c>
      <c r="AL61" s="20">
        <f t="shared" si="4"/>
        <v>323.48573000787144</v>
      </c>
      <c r="AM61" s="59">
        <f t="shared" si="5"/>
        <v>616.81906334120481</v>
      </c>
      <c r="AN61" s="59">
        <f ca="1">AVERAGE(OFFSET($AM$3,0,0,'Données projet'!$E$10+1,1))-AVERAGE(OFFSET($H$3,0,0,'Données projet'!$E$10+1,1))</f>
        <v>150.9416300233616</v>
      </c>
      <c r="AO61" s="59">
        <f t="shared" si="36"/>
        <v>92.286636088269972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8.4848930026057889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8.4848930026057889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5.4</v>
      </c>
      <c r="BD61" s="12">
        <f>IF('Données projet'!$A$88&gt;35,BD60+BC61-BL60,IF(A61&lt;'Données projet'!$A$88,$BA$205^A61,IF(A61='Données projet'!$A$88,'Données projet'!$B$88,BD60+BC61-BL60)))</f>
        <v>137.19999999999996</v>
      </c>
      <c r="BE61" s="13">
        <f>BD61*VLOOKUP('Données projet'!$B$11,Paramètres!$A$1:$I$89,3,0)*VLOOKUP('Données projet'!$B$11,Paramètres!$A$1:$I$89,5,0)</f>
        <v>132.69983999999997</v>
      </c>
      <c r="BF61" s="13">
        <f t="shared" si="37"/>
        <v>34.619464800994599</v>
      </c>
      <c r="BG61" s="20">
        <f t="shared" si="7"/>
        <v>291.41445586173216</v>
      </c>
      <c r="BH61" s="59">
        <f t="shared" si="8"/>
        <v>584.74778919506548</v>
      </c>
      <c r="BI61" s="59">
        <f ca="1">AVERAGE(OFFSET($BH$3,0,0,'Données projet'!$E$11+1,1))-AVERAGE(OFFSET($H$3,0,0,'Données projet'!$E$11+1,1))</f>
        <v>131.02416800340484</v>
      </c>
      <c r="BJ61" s="59">
        <f t="shared" si="38"/>
        <v>79.394119001888555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7.6241067559646218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7.6241067559646218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5.4</v>
      </c>
      <c r="BY61" s="12">
        <f>IF('Données projet'!$A$114&gt;35,BY60+BX61-CG60,IF(A61&lt;'Données projet'!$A$114,$BV$205^A61,IF(A61='Données projet'!$A$114,'Données projet'!$B$114,BY60+BX61-CG60)))</f>
        <v>137.19999999999996</v>
      </c>
      <c r="BZ61" s="13">
        <f>BY61*VLOOKUP('Données projet'!$B$12,Paramètres!$A$1:$I$89,3,0)*VLOOKUP('Données projet'!$B$12,Paramètres!$A$1:$I$89,5,0)</f>
        <v>124.13855999999996</v>
      </c>
      <c r="CA61" s="13">
        <f t="shared" si="39"/>
        <v>32.638337418917978</v>
      </c>
      <c r="CB61" s="20">
        <f t="shared" si="10"/>
        <v>273.05309633794872</v>
      </c>
      <c r="CC61" s="59">
        <f t="shared" si="11"/>
        <v>566.38642967128203</v>
      </c>
      <c r="CD61" s="59">
        <f ca="1">AVERAGE(OFFSET($CC$3,0,0,'Données projet'!$E$12+1,1))-AVERAGE(OFFSET($H$3,0,0,'Données projet'!$E$12+1,1))</f>
        <v>119.62076457560073</v>
      </c>
      <c r="CE61" s="59">
        <f t="shared" si="40"/>
        <v>72.011647893875363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7.1322289007410982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7.1322289007410982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5.4</v>
      </c>
      <c r="CT61" s="12">
        <f>IF('Données projet'!$A$140&gt;35,CT60+CS61-DB60,IF(A61&lt;'Données projet'!$A$140,$CQ$205^A61,IF(A61='Données projet'!$A$140,'Données projet'!$B$140,CT60+CS61-DB60)))</f>
        <v>137.19999999999996</v>
      </c>
      <c r="CU61" s="17">
        <f>CT61*VLOOKUP('Données projet'!$B$13,Paramètres!$A$1:$I$89,3,0)*VLOOKUP('Données projet'!$B$13,Paramètres!$A$1:$I$89,5,0)</f>
        <v>147.68207999999996</v>
      </c>
      <c r="CV61" s="13">
        <f t="shared" si="41"/>
        <v>38.051353497342525</v>
      </c>
      <c r="CW61" s="20">
        <f t="shared" si="13"/>
        <v>323.48573000787144</v>
      </c>
      <c r="CX61" s="59">
        <f t="shared" si="14"/>
        <v>616.81906334120481</v>
      </c>
      <c r="CY61" s="59">
        <f ca="1">AVERAGE(OFFSET($CX$3,0,0,'Données projet'!$E$13+1,1))-AVERAGE(OFFSET($H$3,0,0,'Données projet'!$E$13+1,1))</f>
        <v>150.9416300233616</v>
      </c>
      <c r="CZ61" s="59">
        <f t="shared" si="42"/>
        <v>92.286636088269972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8.4848930026057889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8.4848930026057889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12.4</v>
      </c>
      <c r="DO61" s="12">
        <f>IF('Données projet'!$A$166&gt;35,DO60+DN61-DW60,IF(A61&lt;'Données projet'!$A$166,$DL$205^A61,IF(A61='Données projet'!$A$166,'Données projet'!$B$166,DO60+DN61-DW60)))</f>
        <v>388.19999999999959</v>
      </c>
      <c r="DP61" s="17">
        <f>DO61*VLOOKUP('Données projet'!$B$14,Paramètres!$A$1:$I$89,3,0)*VLOOKUP('Données projet'!$B$14,Paramètres!$A$1:$I$89,5,0)</f>
        <v>232.14359999999979</v>
      </c>
      <c r="DQ61" s="13">
        <f t="shared" si="43"/>
        <v>56.745927424617399</v>
      </c>
      <c r="DR61" s="20">
        <f t="shared" si="16"/>
        <v>503.14926026454168</v>
      </c>
      <c r="DS61" s="59">
        <f t="shared" si="17"/>
        <v>796.48259359787494</v>
      </c>
      <c r="DT61" s="59">
        <f ca="1">AVERAGE(OFFSET($DS$3,0,0,'Données projet'!$E$14+1,1))-AVERAGE(OFFSET($H$3,0,0,'Données projet'!$E$14+1,1))</f>
        <v>249.22792522076639</v>
      </c>
      <c r="DU61" s="59">
        <f t="shared" si="44"/>
        <v>244.53725944480669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35.579134535241522</v>
      </c>
      <c r="EB61" s="21">
        <f>EXP(-LN(2)/25)*EB60+(1-EXP(-LN(2)/25))/(LN(2)/25)*Calculateur!DW61*Calculateur!DY61*VLOOKUP('Données projet'!$B$14,Paramètres!$A$1:$I$89,3,0)*0.475*44/12</f>
        <v>19.0444463388664</v>
      </c>
      <c r="EC61" s="21">
        <f>EXP(-LN(2)/2)*EC60+(1-EXP(-LN(2)/2))/(LN(2)/2)*DW61*DZ61*VLOOKUP('Données projet'!$B$14,Paramètres!$A$1:$I$89,3,0)*0.475*44/12</f>
        <v>1.8541526036930878</v>
      </c>
      <c r="ED61" s="22">
        <f t="shared" si="18"/>
        <v>56.47773347780101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2.2737367544323206E-13</v>
      </c>
      <c r="EK61" s="17">
        <f>EJ61*VLOOKUP('Données projet'!$B$15,Paramètres!$A$1:$I$89,3,0)*VLOOKUP('Données projet'!$B$15,Paramètres!$A$1:$I$89,5,0)</f>
        <v>1.2710188457276673E-13</v>
      </c>
      <c r="EL61" s="13">
        <f t="shared" si="45"/>
        <v>1.856866851063998E-12</v>
      </c>
      <c r="EM61" s="20">
        <f t="shared" si="19"/>
        <v>3.4554122145673649E-12</v>
      </c>
      <c r="EN61" s="59">
        <f t="shared" si="20"/>
        <v>293.33333333333678</v>
      </c>
      <c r="EO61" s="59">
        <f ca="1">AVERAGE(OFFSET($EN$3,0,0,'Données projet'!$E$15+1,1))-AVERAGE(OFFSET($H$3,0,0,'Données projet'!$E$15+1,1))</f>
        <v>313.36787814924116</v>
      </c>
      <c r="EP61" s="59">
        <f t="shared" si="46"/>
        <v>438.72984487610216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252.41113140971643</v>
      </c>
      <c r="EW61" s="21">
        <f>EXP(-LN(2)/25)*EW60+(1-EXP(-LN(2)/25))/(LN(2)/25)*Calculateur!ER61*Calculateur!ET61*VLOOKUP('Données projet'!$B$15,Paramètres!$A$1:$I$89,3,0)*0.475*44/12</f>
        <v>50.037494954551924</v>
      </c>
      <c r="EX61" s="21">
        <f>EXP(-LN(2)/2)*EX60+(1-EXP(-LN(2)/2))/(LN(2)/2)*ER61*EU61*VLOOKUP('Données projet'!$B$15,Paramètres!$A$1:$I$89,3,0)*0.475*44/12</f>
        <v>2.3705341876206201</v>
      </c>
      <c r="EY61" s="22">
        <f t="shared" si="21"/>
        <v>304.81916055188896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5.4</v>
      </c>
      <c r="N62" s="13">
        <f>IF('Données projet'!$A$36&gt;35,N61+M62-V61,IF(A62&lt;'Données projet'!$A$36,$K$205^A62,IF(A62='Données projet'!$A$36,'Données projet'!$B$36,N61+M62-V61)))</f>
        <v>142.59999999999997</v>
      </c>
      <c r="O62" s="13">
        <f>N62*VLOOKUP('Données projet'!$B$9,Paramètres!$A$1:$I$89,3,0)*VLOOKUP('Données projet'!$B$9,Paramètres!$A$1:$I$89,5,0)</f>
        <v>129.02447999999995</v>
      </c>
      <c r="P62" s="13">
        <f t="shared" si="33"/>
        <v>33.770846580616251</v>
      </c>
      <c r="Q62" s="20">
        <f t="shared" si="53"/>
        <v>283.53519379457322</v>
      </c>
      <c r="R62" s="59">
        <f t="shared" si="0"/>
        <v>576.86852712790653</v>
      </c>
      <c r="S62" s="59">
        <f ca="1">AVERAGE(OFFSET($R$3,0,0,'Données projet'!$E$9+1,1))-AVERAGE(OFFSET($H$3,0,0,'Données projet'!$E$9+1,1))</f>
        <v>173.91998182168385</v>
      </c>
      <c r="T62" s="59">
        <f t="shared" si="34"/>
        <v>72.011647893875363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4.4158062076685773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4.4158062076685773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5.4</v>
      </c>
      <c r="AI62" s="13">
        <f>IF('Données projet'!$A$62&gt;35,AI61+AH62-AQ61,IF(A62&lt;'Données projet'!$A$62,$AF$205^A62,IF(A62='Données projet'!$A$62,'Données projet'!$B$62,AI61+AH62-AQ61)))</f>
        <v>142.59999999999997</v>
      </c>
      <c r="AJ62" s="13">
        <f>AI62*VLOOKUP('Données projet'!$B$10,Paramètres!$A$1:$I$89,3,0)*VLOOKUP('Données projet'!$B$10,Paramètres!$A$1:$I$89,5,0)</f>
        <v>153.49463999999995</v>
      </c>
      <c r="AK62" s="13">
        <f t="shared" si="35"/>
        <v>39.371687492841346</v>
      </c>
      <c r="AL62" s="20">
        <f t="shared" si="4"/>
        <v>335.90885371669856</v>
      </c>
      <c r="AM62" s="59">
        <f t="shared" si="5"/>
        <v>629.24218705003182</v>
      </c>
      <c r="AN62" s="59">
        <f ca="1">AVERAGE(OFFSET($AM$3,0,0,'Données projet'!$E$10+1,1))-AVERAGE(OFFSET($H$3,0,0,'Données projet'!$E$10+1,1))</f>
        <v>150.9416300233616</v>
      </c>
      <c r="AO62" s="59">
        <f t="shared" si="36"/>
        <v>92.286636088269972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8.3185094260984052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8.3185094260984052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5.4</v>
      </c>
      <c r="BD62" s="12">
        <f>IF('Données projet'!$A$88&gt;35,BD61+BC62-BL61,IF(A62&lt;'Données projet'!$A$88,$BA$205^A62,IF(A62='Données projet'!$A$88,'Données projet'!$B$88,BD61+BC62-BL61)))</f>
        <v>142.59999999999997</v>
      </c>
      <c r="BE62" s="13">
        <f>BD62*VLOOKUP('Données projet'!$B$11,Paramètres!$A$1:$I$89,3,0)*VLOOKUP('Données projet'!$B$11,Paramètres!$A$1:$I$89,5,0)</f>
        <v>137.92271999999997</v>
      </c>
      <c r="BF62" s="13">
        <f t="shared" si="37"/>
        <v>35.82071658526872</v>
      </c>
      <c r="BG62" s="20">
        <f t="shared" si="7"/>
        <v>302.60315205267631</v>
      </c>
      <c r="BH62" s="59">
        <f t="shared" si="8"/>
        <v>595.93648538600962</v>
      </c>
      <c r="BI62" s="59">
        <f ca="1">AVERAGE(OFFSET($BH$3,0,0,'Données projet'!$E$11+1,1))-AVERAGE(OFFSET($H$3,0,0,'Données projet'!$E$11+1,1))</f>
        <v>131.02416800340484</v>
      </c>
      <c r="BJ62" s="59">
        <f t="shared" si="38"/>
        <v>79.394119001888555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7.4746026727261032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7.4746026727261032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5.4</v>
      </c>
      <c r="BY62" s="12">
        <f>IF('Données projet'!$A$114&gt;35,BY61+BX62-CG61,IF(A62&lt;'Données projet'!$A$114,$BV$205^A62,IF(A62='Données projet'!$A$114,'Données projet'!$B$114,BY61+BX62-CG61)))</f>
        <v>142.59999999999997</v>
      </c>
      <c r="BZ62" s="13">
        <f>BY62*VLOOKUP('Données projet'!$B$12,Paramètres!$A$1:$I$89,3,0)*VLOOKUP('Données projet'!$B$12,Paramètres!$A$1:$I$89,5,0)</f>
        <v>129.02447999999995</v>
      </c>
      <c r="CA62" s="13">
        <f t="shared" si="39"/>
        <v>33.770846580616251</v>
      </c>
      <c r="CB62" s="20">
        <f t="shared" si="10"/>
        <v>283.53519379457322</v>
      </c>
      <c r="CC62" s="59">
        <f t="shared" si="11"/>
        <v>576.86852712790653</v>
      </c>
      <c r="CD62" s="59">
        <f ca="1">AVERAGE(OFFSET($CC$3,0,0,'Données projet'!$E$12+1,1))-AVERAGE(OFFSET($H$3,0,0,'Données projet'!$E$12+1,1))</f>
        <v>119.62076457560073</v>
      </c>
      <c r="CE62" s="59">
        <f t="shared" si="40"/>
        <v>72.011647893875363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6.9923702422276452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6.9923702422276452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5.4</v>
      </c>
      <c r="CT62" s="12">
        <f>IF('Données projet'!$A$140&gt;35,CT61+CS62-DB61,IF(A62&lt;'Données projet'!$A$140,$CQ$205^A62,IF(A62='Données projet'!$A$140,'Données projet'!$B$140,CT61+CS62-DB61)))</f>
        <v>142.59999999999997</v>
      </c>
      <c r="CU62" s="17">
        <f>CT62*VLOOKUP('Données projet'!$B$13,Paramètres!$A$1:$I$89,3,0)*VLOOKUP('Données projet'!$B$13,Paramètres!$A$1:$I$89,5,0)</f>
        <v>153.49463999999995</v>
      </c>
      <c r="CV62" s="13">
        <f t="shared" si="41"/>
        <v>39.371687492841346</v>
      </c>
      <c r="CW62" s="20">
        <f t="shared" si="13"/>
        <v>335.90885371669856</v>
      </c>
      <c r="CX62" s="59">
        <f t="shared" si="14"/>
        <v>629.24218705003182</v>
      </c>
      <c r="CY62" s="59">
        <f ca="1">AVERAGE(OFFSET($CX$3,0,0,'Données projet'!$E$13+1,1))-AVERAGE(OFFSET($H$3,0,0,'Données projet'!$E$13+1,1))</f>
        <v>150.9416300233616</v>
      </c>
      <c r="CZ62" s="59">
        <f t="shared" si="42"/>
        <v>92.286636088269972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8.3185094260984052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8.3185094260984052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12.4</v>
      </c>
      <c r="DO62" s="12">
        <f>IF('Données projet'!$A$166&gt;35,DO61+DN62-DW61,IF(A62&lt;'Données projet'!$A$166,$DL$205^A62,IF(A62='Données projet'!$A$166,'Données projet'!$B$166,DO61+DN62-DW61)))</f>
        <v>400.59999999999957</v>
      </c>
      <c r="DP62" s="17">
        <f>DO62*VLOOKUP('Données projet'!$B$14,Paramètres!$A$1:$I$89,3,0)*VLOOKUP('Données projet'!$B$14,Paramètres!$A$1:$I$89,5,0)</f>
        <v>239.55879999999976</v>
      </c>
      <c r="DQ62" s="13">
        <f t="shared" si="43"/>
        <v>58.344593989738705</v>
      </c>
      <c r="DR62" s="20">
        <f t="shared" si="16"/>
        <v>518.84841119879445</v>
      </c>
      <c r="DS62" s="59">
        <f t="shared" si="17"/>
        <v>812.18174453212782</v>
      </c>
      <c r="DT62" s="59">
        <f ca="1">AVERAGE(OFFSET($DS$3,0,0,'Données projet'!$E$14+1,1))-AVERAGE(OFFSET($H$3,0,0,'Données projet'!$E$14+1,1))</f>
        <v>249.22792522076639</v>
      </c>
      <c r="DU62" s="59">
        <f t="shared" si="44"/>
        <v>244.53725944480669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34.881449408134692</v>
      </c>
      <c r="EB62" s="21">
        <f>EXP(-LN(2)/25)*EB61+(1-EXP(-LN(2)/25))/(LN(2)/25)*Calculateur!DW62*Calculateur!DY62*VLOOKUP('Données projet'!$B$14,Paramètres!$A$1:$I$89,3,0)*0.475*44/12</f>
        <v>18.523674952226191</v>
      </c>
      <c r="EC62" s="21">
        <f>EXP(-LN(2)/2)*EC61+(1-EXP(-LN(2)/2))/(LN(2)/2)*DW62*DZ62*VLOOKUP('Données projet'!$B$14,Paramètres!$A$1:$I$89,3,0)*0.475*44/12</f>
        <v>1.3110838794260757</v>
      </c>
      <c r="ED62" s="22">
        <f t="shared" si="18"/>
        <v>54.716208239786965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2.2737367544323206E-13</v>
      </c>
      <c r="EK62" s="17">
        <f>EJ62*VLOOKUP('Données projet'!$B$15,Paramètres!$A$1:$I$89,3,0)*VLOOKUP('Données projet'!$B$15,Paramètres!$A$1:$I$89,5,0)</f>
        <v>1.2710188457276673E-13</v>
      </c>
      <c r="EL62" s="13">
        <f t="shared" si="45"/>
        <v>1.856866851063998E-12</v>
      </c>
      <c r="EM62" s="20">
        <f t="shared" si="19"/>
        <v>3.4554122145673649E-12</v>
      </c>
      <c r="EN62" s="59">
        <f t="shared" si="20"/>
        <v>293.33333333333678</v>
      </c>
      <c r="EO62" s="59">
        <f ca="1">AVERAGE(OFFSET($EN$3,0,0,'Données projet'!$E$15+1,1))-AVERAGE(OFFSET($H$3,0,0,'Données projet'!$E$15+1,1))</f>
        <v>313.36787814924116</v>
      </c>
      <c r="EP62" s="59">
        <f t="shared" si="46"/>
        <v>438.72984487610216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247.46150307836021</v>
      </c>
      <c r="EW62" s="21">
        <f>EXP(-LN(2)/25)*EW61+(1-EXP(-LN(2)/25))/(LN(2)/25)*Calculateur!ER62*Calculateur!ET62*VLOOKUP('Données projet'!$B$15,Paramètres!$A$1:$I$89,3,0)*0.475*44/12</f>
        <v>48.669217023662206</v>
      </c>
      <c r="EX62" s="21">
        <f>EXP(-LN(2)/2)*EX61+(1-EXP(-LN(2)/2))/(LN(2)/2)*ER62*EU62*VLOOKUP('Données projet'!$B$15,Paramètres!$A$1:$I$89,3,0)*0.475*44/12</f>
        <v>1.676220799101084</v>
      </c>
      <c r="EY62" s="22">
        <f t="shared" si="21"/>
        <v>297.80694090112348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148</v>
      </c>
      <c r="L63" s="12">
        <f>VLOOKUP(A63,'Données projet'!$A$35:$I$55,9,0)</f>
        <v>5.4</v>
      </c>
      <c r="M63" s="12">
        <f t="array" ref="M63">INDEX(L:L,MIN(IF(ISNUMBER(L63:L259),ROW(L63:L259),"")))</f>
        <v>5.4</v>
      </c>
      <c r="N63" s="13">
        <f>IF('Données projet'!$A$36&gt;35,N62+M63-V62,IF(A63&lt;'Données projet'!$A$36,$K$205^A63,IF(A63='Données projet'!$A$36,'Données projet'!$B$36,N62+M63-V62)))</f>
        <v>147.99999999999997</v>
      </c>
      <c r="O63" s="13">
        <f>N63*VLOOKUP('Données projet'!$B$9,Paramètres!$A$1:$I$89,3,0)*VLOOKUP('Données projet'!$B$9,Paramètres!$A$1:$I$89,5,0)</f>
        <v>133.91039999999995</v>
      </c>
      <c r="P63" s="13">
        <f t="shared" si="33"/>
        <v>34.898373535125089</v>
      </c>
      <c r="Q63" s="20">
        <f t="shared" si="53"/>
        <v>294.00861390700948</v>
      </c>
      <c r="R63" s="59">
        <f t="shared" si="0"/>
        <v>587.34194724034273</v>
      </c>
      <c r="S63" s="59">
        <f ca="1">AVERAGE(OFFSET($R$3,0,0,'Données projet'!$E$9+1,1))-AVERAGE(OFFSET($H$3,0,0,'Données projet'!$E$9+1,1))</f>
        <v>173.91998182168385</v>
      </c>
      <c r="T63" s="59">
        <f t="shared" si="34"/>
        <v>72.011647893875363</v>
      </c>
      <c r="U63" s="15">
        <f>IF(ISNA(VLOOKUP(A63,'Données projet'!$A$35:$I$55,3,0)),0,VLOOKUP(A63,'Données projet'!$A$35:$I$55,3,0))</f>
        <v>8</v>
      </c>
      <c r="V63" s="15">
        <f>IF(ISNA(VLOOKUP(A63,'Données projet'!$A$35:$I$55,4,0)),0,VLOOKUP(A63,'Données projet'!$A$35:$I$55,4,0))</f>
        <v>14</v>
      </c>
      <c r="W63" s="16">
        <f>IF(ISNA(VLOOKUP(A63,'Données projet'!$A$35:$I$55,5,0)),0%,VLOOKUP(A63,'Données projet'!$A$35:$I$55,5,0)*VLOOKUP('Données projet'!$B$9,Paramètres!$A$1:$I$89,7,0))</f>
        <v>0.129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6.1356295978309872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6.1356295978309872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148</v>
      </c>
      <c r="AG63" s="12">
        <f>VLOOKUP(A63,'Données projet'!$A$61:$I$81,9,0)</f>
        <v>5.4</v>
      </c>
      <c r="AH63" s="12">
        <f t="array" ref="AH63">INDEX(AG:AG,MIN(IF(ISNUMBER(AG63:AG259),ROW(AG63:AG259),"")))</f>
        <v>5.4</v>
      </c>
      <c r="AI63" s="13">
        <f>IF('Données projet'!$A$62&gt;35,AI62+AH63-AQ62,IF(A63&lt;'Données projet'!$A$62,$AF$205^A63,IF(A63='Données projet'!$A$62,'Données projet'!$B$62,AI62+AH63-AQ62)))</f>
        <v>147.99999999999997</v>
      </c>
      <c r="AJ63" s="13">
        <f>AI63*VLOOKUP('Données projet'!$B$10,Paramètres!$A$1:$I$89,3,0)*VLOOKUP('Données projet'!$B$10,Paramètres!$A$1:$I$89,5,0)</f>
        <v>159.30719999999997</v>
      </c>
      <c r="AK63" s="13">
        <f t="shared" si="35"/>
        <v>40.686212990054052</v>
      </c>
      <c r="AL63" s="20">
        <f t="shared" si="4"/>
        <v>348.32186095767742</v>
      </c>
      <c r="AM63" s="59">
        <f t="shared" si="5"/>
        <v>641.65519429101073</v>
      </c>
      <c r="AN63" s="59">
        <f ca="1">AVERAGE(OFFSET($AM$3,0,0,'Données projet'!$E$10+1,1))-AVERAGE(OFFSET($H$3,0,0,'Données projet'!$E$10+1,1))</f>
        <v>150.9416300233616</v>
      </c>
      <c r="AO63" s="59">
        <f t="shared" si="36"/>
        <v>92.286636088269972</v>
      </c>
      <c r="AP63" s="15">
        <f>IF(ISNA(VLOOKUP(A63,'Données projet'!$A$61:$I$81,3,0)),0,VLOOKUP(A63,'Données projet'!$A$61:$I$81,3,0))</f>
        <v>8</v>
      </c>
      <c r="AQ63" s="15">
        <f>IF(ISNA(VLOOKUP(A63,'Données projet'!$A$61:$I$81,4,0)),0,VLOOKUP(A63,'Données projet'!$A$61:$I$81,4,0))</f>
        <v>14</v>
      </c>
      <c r="AR63" s="16">
        <f>IF(ISNA(VLOOKUP(A63,'Données projet'!$A$61:$I$81,5,0)),0%,VLOOKUP(A63,'Données projet'!$A$61:$I$81,5,0)*VLOOKUP('Données projet'!$B$10,Paramètres!$A$1:$I$89,7,0))</f>
        <v>0.25800000000000001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12.453409609346082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12.453409609346082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148</v>
      </c>
      <c r="BB63" s="12">
        <f>VLOOKUP(A63,'Données projet'!$A$87:$I$107,9,0)</f>
        <v>5.4</v>
      </c>
      <c r="BC63" s="12">
        <f t="array" ref="BC63">INDEX(BB:BB,MIN(IF(ISNUMBER(BB63:BB259),ROW(BB63:BB259),"")))</f>
        <v>5.4</v>
      </c>
      <c r="BD63" s="12">
        <f>IF('Données projet'!$A$88&gt;35,BD62+BC63-BL62,IF(A63&lt;'Données projet'!$A$88,$BA$205^A63,IF(A63='Données projet'!$A$88,'Données projet'!$B$88,BD62+BC63-BL62)))</f>
        <v>147.99999999999997</v>
      </c>
      <c r="BE63" s="13">
        <f>BD63*VLOOKUP('Données projet'!$B$11,Paramètres!$A$1:$I$89,3,0)*VLOOKUP('Données projet'!$B$11,Paramètres!$A$1:$I$89,5,0)</f>
        <v>143.14559999999997</v>
      </c>
      <c r="BF63" s="13">
        <f t="shared" si="37"/>
        <v>37.01668374538415</v>
      </c>
      <c r="BG63" s="20">
        <f t="shared" si="7"/>
        <v>313.78264418987732</v>
      </c>
      <c r="BH63" s="59">
        <f t="shared" si="8"/>
        <v>607.11597752321063</v>
      </c>
      <c r="BI63" s="59">
        <f ca="1">AVERAGE(OFFSET($BH$3,0,0,'Données projet'!$E$11+1,1))-AVERAGE(OFFSET($H$3,0,0,'Données projet'!$E$11+1,1))</f>
        <v>131.02416800340484</v>
      </c>
      <c r="BJ63" s="59">
        <f t="shared" si="38"/>
        <v>79.394119001888555</v>
      </c>
      <c r="BK63" s="15">
        <f>IF(ISNA(VLOOKUP(A63,'Données projet'!$A$87:$I$107,3,0)),0,VLOOKUP(A63,'Données projet'!$A$87:$I$107,3,0))</f>
        <v>8</v>
      </c>
      <c r="BL63" s="15">
        <f>IF(ISNA(VLOOKUP(A63,'Données projet'!$A$87:$I$107,4,0)),0,VLOOKUP(A63,'Données projet'!$A$87:$I$107,4,0))</f>
        <v>14</v>
      </c>
      <c r="BM63" s="16">
        <f>IF(ISNA(VLOOKUP(A63,'Données projet'!$A$87:$I$107,5,0)),0%,VLOOKUP(A63,'Données projet'!$A$87:$I$107,5,0)*VLOOKUP('Données projet'!$B$11,Paramètres!$A$1:$I$89,7,0))</f>
        <v>0.25800000000000001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11.190020228687787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11.190020228687787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148</v>
      </c>
      <c r="BW63" s="12">
        <f>VLOOKUP(A63,'Données projet'!$A$113:$I$133,9,0)</f>
        <v>5.4</v>
      </c>
      <c r="BX63" s="12">
        <f t="array" ref="BX63">INDEX(BW:BW,MIN(IF(ISNUMBER(BW63:BW259),ROW(BW63:BW259),"")))</f>
        <v>5.4</v>
      </c>
      <c r="BY63" s="12">
        <f>IF('Données projet'!$A$114&gt;35,BY62+BX63-CG62,IF(A63&lt;'Données projet'!$A$114,$BV$205^A63,IF(A63='Données projet'!$A$114,'Données projet'!$B$114,BY62+BX63-CG62)))</f>
        <v>147.99999999999997</v>
      </c>
      <c r="BZ63" s="13">
        <f>BY63*VLOOKUP('Données projet'!$B$12,Paramètres!$A$1:$I$89,3,0)*VLOOKUP('Données projet'!$B$12,Paramètres!$A$1:$I$89,5,0)</f>
        <v>133.91039999999995</v>
      </c>
      <c r="CA63" s="13">
        <f t="shared" si="39"/>
        <v>34.898373535125089</v>
      </c>
      <c r="CB63" s="20">
        <f t="shared" si="10"/>
        <v>294.00861390700948</v>
      </c>
      <c r="CC63" s="59">
        <f t="shared" si="11"/>
        <v>587.34194724034273</v>
      </c>
      <c r="CD63" s="59">
        <f ca="1">AVERAGE(OFFSET($CC$3,0,0,'Données projet'!$E$12+1,1))-AVERAGE(OFFSET($H$3,0,0,'Données projet'!$E$12+1,1))</f>
        <v>119.62076457560073</v>
      </c>
      <c r="CE63" s="59">
        <f t="shared" si="40"/>
        <v>72.011647893875363</v>
      </c>
      <c r="CF63" s="15">
        <f>IF(ISNA(VLOOKUP(A63,'Données projet'!$A$113:$I$133,3,0)),0,VLOOKUP(A63,'Données projet'!$A$113:$I$133,3,0))</f>
        <v>8</v>
      </c>
      <c r="CG63" s="15">
        <f>IF(ISNA(VLOOKUP(A63,'Données projet'!$A$113:$I$133,4,0)),0,VLOOKUP(A63,'Données projet'!$A$113:$I$133,4,0))</f>
        <v>14</v>
      </c>
      <c r="CH63" s="16">
        <f>IF(ISNA(VLOOKUP(A63,'Données projet'!$A$113:$I$133,5,0)),0%,VLOOKUP(A63,'Données projet'!$A$113:$I$133,5,0)*VLOOKUP('Données projet'!$B$12,Paramètres!$A$1:$I$89,7,0))</f>
        <v>0.25800000000000001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10.468083439740187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10.468083439740187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148</v>
      </c>
      <c r="CR63" s="12">
        <f>VLOOKUP(A63,'Données projet'!$A$139:$I$159,9,0)</f>
        <v>5.4</v>
      </c>
      <c r="CS63" s="12">
        <f t="array" ref="CS63">INDEX(CR:CR,MIN(IF(ISNUMBER(CR63:CR259),ROW(CR63:CR259),"")))</f>
        <v>5.4</v>
      </c>
      <c r="CT63" s="12">
        <f>IF('Données projet'!$A$140&gt;35,CT62+CS63-DB62,IF(A63&lt;'Données projet'!$A$140,$CQ$205^A63,IF(A63='Données projet'!$A$140,'Données projet'!$B$140,CT62+CS63-DB62)))</f>
        <v>147.99999999999997</v>
      </c>
      <c r="CU63" s="17">
        <f>CT63*VLOOKUP('Données projet'!$B$13,Paramètres!$A$1:$I$89,3,0)*VLOOKUP('Données projet'!$B$13,Paramètres!$A$1:$I$89,5,0)</f>
        <v>159.30719999999997</v>
      </c>
      <c r="CV63" s="13">
        <f t="shared" si="41"/>
        <v>40.686212990054052</v>
      </c>
      <c r="CW63" s="20">
        <f t="shared" si="13"/>
        <v>348.32186095767742</v>
      </c>
      <c r="CX63" s="59">
        <f t="shared" si="14"/>
        <v>641.65519429101073</v>
      </c>
      <c r="CY63" s="59">
        <f ca="1">AVERAGE(OFFSET($CX$3,0,0,'Données projet'!$E$13+1,1))-AVERAGE(OFFSET($H$3,0,0,'Données projet'!$E$13+1,1))</f>
        <v>150.9416300233616</v>
      </c>
      <c r="CZ63" s="59">
        <f t="shared" si="42"/>
        <v>92.286636088269972</v>
      </c>
      <c r="DA63" s="15">
        <f>IF(ISNA(VLOOKUP(A63,'Données projet'!$A$139:$I$159,3,0)),0,VLOOKUP(A63,'Données projet'!$A$139:$I$159,3,0))</f>
        <v>8</v>
      </c>
      <c r="DB63" s="15">
        <f>IF(ISNA(VLOOKUP(A63,'Données projet'!$A$139:$I$159,4,0)),0,VLOOKUP(A63,'Données projet'!$A$139:$I$159,4,0))</f>
        <v>14</v>
      </c>
      <c r="DC63" s="16">
        <f>IF(ISNA(VLOOKUP(A63,'Données projet'!$A$139:$I$159,5,0)),0%,VLOOKUP(A63,'Données projet'!$A$139:$I$159,5,0)*VLOOKUP('Données projet'!$B$13,Paramètres!$A$1:$I$89,7,0))</f>
        <v>0.25800000000000001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12.453409609346082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12.453409609346082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413</v>
      </c>
      <c r="DM63" s="12">
        <f>VLOOKUP(A63,'Données projet'!$A$165:$I$185,9,0)</f>
        <v>12.4</v>
      </c>
      <c r="DN63" s="12">
        <f t="array" ref="DN63">INDEX(DM:DM,MIN(IF(ISNUMBER(DM63:DM259),ROW(DM63:DM259),"")))</f>
        <v>12.4</v>
      </c>
      <c r="DO63" s="12">
        <f>IF('Données projet'!$A$166&gt;35,DO62+DN63-DW62,IF(A63&lt;'Données projet'!$A$166,$DL$205^A63,IF(A63='Données projet'!$A$166,'Données projet'!$B$166,DO62+DN63-DW62)))</f>
        <v>412.99999999999955</v>
      </c>
      <c r="DP63" s="17">
        <f>DO63*VLOOKUP('Données projet'!$B$14,Paramètres!$A$1:$I$89,3,0)*VLOOKUP('Données projet'!$B$14,Paramètres!$A$1:$I$89,5,0)</f>
        <v>246.97399999999973</v>
      </c>
      <c r="DQ63" s="13">
        <f t="shared" si="43"/>
        <v>59.937509960346993</v>
      </c>
      <c r="DR63" s="20">
        <f t="shared" si="16"/>
        <v>534.5375465142705</v>
      </c>
      <c r="DS63" s="59">
        <f t="shared" si="17"/>
        <v>827.87087984760387</v>
      </c>
      <c r="DT63" s="59">
        <f ca="1">AVERAGE(OFFSET($DS$3,0,0,'Données projet'!$E$14+1,1))-AVERAGE(OFFSET($H$3,0,0,'Données projet'!$E$14+1,1))</f>
        <v>249.22792522076639</v>
      </c>
      <c r="DU63" s="59">
        <f t="shared" si="44"/>
        <v>244.53725944480669</v>
      </c>
      <c r="DV63" s="15">
        <f>IF(ISNA(VLOOKUP(A63,'Données projet'!$A$165:$I$185,3,0)),0,VLOOKUP(A63,'Données projet'!$A$165:$I$185,3,0))</f>
        <v>10</v>
      </c>
      <c r="DW63" s="15">
        <f>IF(ISNA(VLOOKUP(A63,'Données projet'!$A$165:$I$185,4,0)),0,VLOOKUP(A63,'Données projet'!$A$165:$I$185,4,0))</f>
        <v>30</v>
      </c>
      <c r="DX63" s="16">
        <f>IF(ISNA(VLOOKUP(A63,'Données projet'!$A$165:$I$185,5,0)),0%,VLOOKUP(A63,'Données projet'!$A$165:$I$185,5,0)*VLOOKUP('Données projet'!$B$14,Paramètres!$A$1:$I$89,7,0))</f>
        <v>0.315</v>
      </c>
      <c r="DY63" s="16">
        <f>IF(ISNA(VLOOKUP(A63,'Données projet'!$A$165:$I$185,6,0)),0%,VLOOKUP(A63,'Données projet'!$A$165:$I$185,6,0)*VLOOKUP('Données projet'!$B$14,Paramètres!$A$1:$I$89,7,0))</f>
        <v>7.6500000000000012E-2</v>
      </c>
      <c r="DZ63" s="16">
        <f>IF(ISNA(VLOOKUP(A63,'Données projet'!$A$165:$I$185,7,0)),0%,VLOOKUP(A63,'Données projet'!$A$165:$I$185,7,0))</f>
        <v>0.13</v>
      </c>
      <c r="EA63" s="21">
        <f>EXP(-LN(2)/35)*EA62+(1-EXP(-LN(2)/35))/(LN(2)/35)*DW63*DX63*VLOOKUP('Données projet'!$B$14,Paramètres!$A$1:$I$89,3,0)*0.475*44/12</f>
        <v>41.693993854958904</v>
      </c>
      <c r="EB63" s="21">
        <f>EXP(-LN(2)/25)*EB62+(1-EXP(-LN(2)/25))/(LN(2)/25)*Calculateur!DW63*Calculateur!DY63*VLOOKUP('Données projet'!$B$14,Paramètres!$A$1:$I$89,3,0)*0.475*44/12</f>
        <v>19.830566053023588</v>
      </c>
      <c r="EC63" s="21">
        <f>EXP(-LN(2)/2)*EC62+(1-EXP(-LN(2)/2))/(LN(2)/2)*DW63*DZ63*VLOOKUP('Données projet'!$B$14,Paramètres!$A$1:$I$89,3,0)*0.475*44/12</f>
        <v>3.5676684661377682</v>
      </c>
      <c r="ED63" s="22">
        <f t="shared" si="18"/>
        <v>65.092228374120268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2.2737367544323206E-13</v>
      </c>
      <c r="EK63" s="17">
        <f>EJ63*VLOOKUP('Données projet'!$B$15,Paramètres!$A$1:$I$89,3,0)*VLOOKUP('Données projet'!$B$15,Paramètres!$A$1:$I$89,5,0)</f>
        <v>1.2710188457276673E-13</v>
      </c>
      <c r="EL63" s="13">
        <f t="shared" si="45"/>
        <v>1.856866851063998E-12</v>
      </c>
      <c r="EM63" s="20">
        <f t="shared" si="19"/>
        <v>3.4554122145673649E-12</v>
      </c>
      <c r="EN63" s="59">
        <f t="shared" si="20"/>
        <v>293.33333333333678</v>
      </c>
      <c r="EO63" s="59">
        <f ca="1">AVERAGE(OFFSET($EN$3,0,0,'Données projet'!$E$15+1,1))-AVERAGE(OFFSET($H$3,0,0,'Données projet'!$E$15+1,1))</f>
        <v>313.36787814924116</v>
      </c>
      <c r="EP63" s="59">
        <f t="shared" si="46"/>
        <v>438.72984487610216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242.60893393960669</v>
      </c>
      <c r="EW63" s="21">
        <f>EXP(-LN(2)/25)*EW62+(1-EXP(-LN(2)/25))/(LN(2)/25)*Calculateur!ER63*Calculateur!ET63*VLOOKUP('Données projet'!$B$15,Paramètres!$A$1:$I$89,3,0)*0.475*44/12</f>
        <v>47.338354724747276</v>
      </c>
      <c r="EX63" s="21">
        <f>EXP(-LN(2)/2)*EX62+(1-EXP(-LN(2)/2))/(LN(2)/2)*ER63*EU63*VLOOKUP('Données projet'!$B$15,Paramètres!$A$1:$I$89,3,0)*0.475*44/12</f>
        <v>1.18526709381031</v>
      </c>
      <c r="EY63" s="22">
        <f t="shared" si="21"/>
        <v>291.13255575816424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5.4</v>
      </c>
      <c r="N64" s="13">
        <f>IF('Données projet'!$A$36&gt;35,N63+M64-V63,IF(A64&lt;'Données projet'!$A$36,$K$205^A64,IF(A64='Données projet'!$A$36,'Données projet'!$B$36,N63+M64-V63)))</f>
        <v>139.39999999999998</v>
      </c>
      <c r="O64" s="13">
        <f>N64*VLOOKUP('Données projet'!$B$9,Paramètres!$A$1:$I$89,3,0)*VLOOKUP('Données projet'!$B$9,Paramètres!$A$1:$I$89,5,0)</f>
        <v>126.12911999999997</v>
      </c>
      <c r="P64" s="13">
        <f t="shared" si="33"/>
        <v>33.100345121748241</v>
      </c>
      <c r="Q64" s="20">
        <f t="shared" si="53"/>
        <v>277.32465175371141</v>
      </c>
      <c r="R64" s="59">
        <f t="shared" si="0"/>
        <v>570.65798508704472</v>
      </c>
      <c r="S64" s="59">
        <f ca="1">AVERAGE(OFFSET($R$3,0,0,'Données projet'!$E$9+1,1))-AVERAGE(OFFSET($H$3,0,0,'Données projet'!$E$9+1,1))</f>
        <v>173.91998182168385</v>
      </c>
      <c r="T64" s="59">
        <f t="shared" si="34"/>
        <v>72.011647893875363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6.015313643782048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6.015313643782048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5.4</v>
      </c>
      <c r="AI64" s="13">
        <f>IF('Données projet'!$A$62&gt;35,AI63+AH64-AQ63,IF(A64&lt;'Données projet'!$A$62,$AF$205^A64,IF(A64='Données projet'!$A$62,'Données projet'!$B$62,AI63+AH64-AQ63)))</f>
        <v>139.39999999999998</v>
      </c>
      <c r="AJ64" s="13">
        <f>AI64*VLOOKUP('Données projet'!$B$10,Paramètres!$A$1:$I$89,3,0)*VLOOKUP('Données projet'!$B$10,Paramètres!$A$1:$I$89,5,0)</f>
        <v>150.05015999999998</v>
      </c>
      <c r="AK64" s="13">
        <f t="shared" si="35"/>
        <v>38.589984439024569</v>
      </c>
      <c r="AL64" s="20">
        <f t="shared" si="4"/>
        <v>328.54825156463437</v>
      </c>
      <c r="AM64" s="59">
        <f t="shared" si="5"/>
        <v>621.88158489796774</v>
      </c>
      <c r="AN64" s="59">
        <f ca="1">AVERAGE(OFFSET($AM$3,0,0,'Données projet'!$E$10+1,1))-AVERAGE(OFFSET($H$3,0,0,'Données projet'!$E$10+1,1))</f>
        <v>150.9416300233616</v>
      </c>
      <c r="AO64" s="59">
        <f t="shared" si="36"/>
        <v>92.286636088269972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12.20920584273664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12.20920584273664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5.4</v>
      </c>
      <c r="BD64" s="12">
        <f>IF('Données projet'!$A$88&gt;35,BD63+BC64-BL63,IF(A64&lt;'Données projet'!$A$88,$BA$205^A64,IF(A64='Données projet'!$A$88,'Données projet'!$B$88,BD63+BC64-BL63)))</f>
        <v>139.39999999999998</v>
      </c>
      <c r="BE64" s="13">
        <f>BD64*VLOOKUP('Données projet'!$B$11,Paramètres!$A$1:$I$89,3,0)*VLOOKUP('Données projet'!$B$11,Paramètres!$A$1:$I$89,5,0)</f>
        <v>134.82767999999999</v>
      </c>
      <c r="BF64" s="13">
        <f t="shared" si="37"/>
        <v>35.109516092536481</v>
      </c>
      <c r="BG64" s="20">
        <f t="shared" si="7"/>
        <v>295.97394986116763</v>
      </c>
      <c r="BH64" s="59">
        <f t="shared" si="8"/>
        <v>589.307283194501</v>
      </c>
      <c r="BI64" s="59">
        <f ca="1">AVERAGE(OFFSET($BH$3,0,0,'Données projet'!$E$11+1,1))-AVERAGE(OFFSET($H$3,0,0,'Données projet'!$E$11+1,1))</f>
        <v>131.02416800340484</v>
      </c>
      <c r="BJ64" s="59">
        <f t="shared" si="38"/>
        <v>79.394119001888555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10.970590757241624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10.970590757241624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5.4</v>
      </c>
      <c r="BY64" s="12">
        <f>IF('Données projet'!$A$114&gt;35,BY63+BX64-CG63,IF(A64&lt;'Données projet'!$A$114,$BV$205^A64,IF(A64='Données projet'!$A$114,'Données projet'!$B$114,BY63+BX64-CG63)))</f>
        <v>139.39999999999998</v>
      </c>
      <c r="BZ64" s="13">
        <f>BY64*VLOOKUP('Données projet'!$B$12,Paramètres!$A$1:$I$89,3,0)*VLOOKUP('Données projet'!$B$12,Paramètres!$A$1:$I$89,5,0)</f>
        <v>126.12911999999997</v>
      </c>
      <c r="CA64" s="13">
        <f t="shared" si="39"/>
        <v>33.100345121748241</v>
      </c>
      <c r="CB64" s="20">
        <f t="shared" si="10"/>
        <v>277.32465175371141</v>
      </c>
      <c r="CC64" s="59">
        <f t="shared" si="11"/>
        <v>570.65798508704472</v>
      </c>
      <c r="CD64" s="59">
        <f ca="1">AVERAGE(OFFSET($CC$3,0,0,'Données projet'!$E$12+1,1))-AVERAGE(OFFSET($H$3,0,0,'Données projet'!$E$12+1,1))</f>
        <v>119.62076457560073</v>
      </c>
      <c r="CE64" s="59">
        <f t="shared" si="40"/>
        <v>72.011647893875363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10.262810708387324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10.262810708387324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5.4</v>
      </c>
      <c r="CT64" s="12">
        <f>IF('Données projet'!$A$140&gt;35,CT63+CS64-DB63,IF(A64&lt;'Données projet'!$A$140,$CQ$205^A64,IF(A64='Données projet'!$A$140,'Données projet'!$B$140,CT63+CS64-DB63)))</f>
        <v>139.39999999999998</v>
      </c>
      <c r="CU64" s="17">
        <f>CT64*VLOOKUP('Données projet'!$B$13,Paramètres!$A$1:$I$89,3,0)*VLOOKUP('Données projet'!$B$13,Paramètres!$A$1:$I$89,5,0)</f>
        <v>150.05015999999998</v>
      </c>
      <c r="CV64" s="13">
        <f t="shared" si="41"/>
        <v>38.589984439024569</v>
      </c>
      <c r="CW64" s="20">
        <f t="shared" si="13"/>
        <v>328.54825156463437</v>
      </c>
      <c r="CX64" s="59">
        <f t="shared" si="14"/>
        <v>621.88158489796774</v>
      </c>
      <c r="CY64" s="59">
        <f ca="1">AVERAGE(OFFSET($CX$3,0,0,'Données projet'!$E$13+1,1))-AVERAGE(OFFSET($H$3,0,0,'Données projet'!$E$13+1,1))</f>
        <v>150.9416300233616</v>
      </c>
      <c r="CZ64" s="59">
        <f t="shared" si="42"/>
        <v>92.286636088269972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12.20920584273664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12.20920584273664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11.4</v>
      </c>
      <c r="DO64" s="12">
        <f>IF('Données projet'!$A$166&gt;35,DO63+DN64-DW63,IF(A64&lt;'Données projet'!$A$166,$DL$205^A64,IF(A64='Données projet'!$A$166,'Données projet'!$B$166,DO63+DN64-DW63)))</f>
        <v>394.39999999999952</v>
      </c>
      <c r="DP64" s="17">
        <f>DO64*VLOOKUP('Données projet'!$B$14,Paramètres!$A$1:$I$89,3,0)*VLOOKUP('Données projet'!$B$14,Paramètres!$A$1:$I$89,5,0)</f>
        <v>235.85119999999972</v>
      </c>
      <c r="DQ64" s="13">
        <f t="shared" si="43"/>
        <v>57.545992055842966</v>
      </c>
      <c r="DR64" s="20">
        <f t="shared" si="16"/>
        <v>511.00010949725942</v>
      </c>
      <c r="DS64" s="59">
        <f t="shared" si="17"/>
        <v>804.33344283059273</v>
      </c>
      <c r="DT64" s="59">
        <f ca="1">AVERAGE(OFFSET($DS$3,0,0,'Données projet'!$E$14+1,1))-AVERAGE(OFFSET($H$3,0,0,'Données projet'!$E$14+1,1))</f>
        <v>249.22792522076639</v>
      </c>
      <c r="DU64" s="59">
        <f t="shared" si="44"/>
        <v>244.53725944480669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40.876400066288326</v>
      </c>
      <c r="EB64" s="21">
        <f>EXP(-LN(2)/25)*EB63+(1-EXP(-LN(2)/25))/(LN(2)/25)*Calculateur!DW64*Calculateur!DY64*VLOOKUP('Données projet'!$B$14,Paramètres!$A$1:$I$89,3,0)*0.475*44/12</f>
        <v>19.288298181459513</v>
      </c>
      <c r="EC64" s="21">
        <f>EXP(-LN(2)/2)*EC63+(1-EXP(-LN(2)/2))/(LN(2)/2)*DW64*DZ64*VLOOKUP('Données projet'!$B$14,Paramètres!$A$1:$I$89,3,0)*0.475*44/12</f>
        <v>2.5227225654314247</v>
      </c>
      <c r="ED64" s="22">
        <f t="shared" si="18"/>
        <v>62.687420813179259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2.2737367544323206E-13</v>
      </c>
      <c r="EK64" s="17">
        <f>EJ64*VLOOKUP('Données projet'!$B$15,Paramètres!$A$1:$I$89,3,0)*VLOOKUP('Données projet'!$B$15,Paramètres!$A$1:$I$89,5,0)</f>
        <v>1.2710188457276673E-13</v>
      </c>
      <c r="EL64" s="13">
        <f t="shared" si="45"/>
        <v>1.856866851063998E-12</v>
      </c>
      <c r="EM64" s="20">
        <f t="shared" si="19"/>
        <v>3.4554122145673649E-12</v>
      </c>
      <c r="EN64" s="59">
        <f t="shared" si="20"/>
        <v>293.33333333333678</v>
      </c>
      <c r="EO64" s="59">
        <f ca="1">AVERAGE(OFFSET($EN$3,0,0,'Données projet'!$E$15+1,1))-AVERAGE(OFFSET($H$3,0,0,'Données projet'!$E$15+1,1))</f>
        <v>313.36787814924116</v>
      </c>
      <c r="EP64" s="59">
        <f t="shared" si="46"/>
        <v>438.72984487610216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237.85152072188922</v>
      </c>
      <c r="EW64" s="21">
        <f>EXP(-LN(2)/25)*EW63+(1-EXP(-LN(2)/25))/(LN(2)/25)*Calculateur!ER64*Calculateur!ET64*VLOOKUP('Données projet'!$B$15,Paramètres!$A$1:$I$89,3,0)*0.475*44/12</f>
        <v>46.043884925383182</v>
      </c>
      <c r="EX64" s="21">
        <f>EXP(-LN(2)/2)*EX63+(1-EXP(-LN(2)/2))/(LN(2)/2)*ER64*EU64*VLOOKUP('Données projet'!$B$15,Paramètres!$A$1:$I$89,3,0)*0.475*44/12</f>
        <v>0.83811039955054201</v>
      </c>
      <c r="EY64" s="22">
        <f t="shared" si="21"/>
        <v>284.73351604682296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5.4</v>
      </c>
      <c r="N65" s="13">
        <f>IF('Données projet'!$A$36&gt;35,N64+M65-V64,IF(A65&lt;'Données projet'!$A$36,$K$205^A65,IF(A65='Données projet'!$A$36,'Données projet'!$B$36,N64+M65-V64)))</f>
        <v>144.79999999999998</v>
      </c>
      <c r="O65" s="13">
        <f>N65*VLOOKUP('Données projet'!$B$9,Paramètres!$A$1:$I$89,3,0)*VLOOKUP('Données projet'!$B$9,Paramètres!$A$1:$I$89,5,0)</f>
        <v>131.01503999999997</v>
      </c>
      <c r="P65" s="13">
        <f t="shared" si="33"/>
        <v>34.230798998779804</v>
      </c>
      <c r="Q65" s="20">
        <f t="shared" si="53"/>
        <v>287.80316958954148</v>
      </c>
      <c r="R65" s="59">
        <f t="shared" si="0"/>
        <v>581.1365029228748</v>
      </c>
      <c r="S65" s="59">
        <f ca="1">AVERAGE(OFFSET($R$3,0,0,'Données projet'!$E$9+1,1))-AVERAGE(OFFSET($H$3,0,0,'Données projet'!$E$9+1,1))</f>
        <v>173.91998182168385</v>
      </c>
      <c r="T65" s="59">
        <f t="shared" si="34"/>
        <v>72.011647893875363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5.8973570122065233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5.8973570122065233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5.4</v>
      </c>
      <c r="AI65" s="13">
        <f>IF('Données projet'!$A$62&gt;35,AI64+AH65-AQ64,IF(A65&lt;'Données projet'!$A$62,$AF$205^A65,IF(A65='Données projet'!$A$62,'Données projet'!$B$62,AI64+AH65-AQ64)))</f>
        <v>144.79999999999998</v>
      </c>
      <c r="AJ65" s="13">
        <f>AI65*VLOOKUP('Données projet'!$B$10,Paramètres!$A$1:$I$89,3,0)*VLOOKUP('Données projet'!$B$10,Paramètres!$A$1:$I$89,5,0)</f>
        <v>155.86271999999997</v>
      </c>
      <c r="AK65" s="13">
        <f t="shared" si="35"/>
        <v>39.907922284180763</v>
      </c>
      <c r="AL65" s="20">
        <f t="shared" si="4"/>
        <v>340.96720197828142</v>
      </c>
      <c r="AM65" s="59">
        <f t="shared" si="5"/>
        <v>634.30053531161479</v>
      </c>
      <c r="AN65" s="59">
        <f ca="1">AVERAGE(OFFSET($AM$3,0,0,'Données projet'!$E$10+1,1))-AVERAGE(OFFSET($H$3,0,0,'Données projet'!$E$10+1,1))</f>
        <v>150.9416300233616</v>
      </c>
      <c r="AO65" s="59">
        <f t="shared" si="36"/>
        <v>92.286636088269972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11.969790763040821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11.969790763040821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5.4</v>
      </c>
      <c r="BD65" s="12">
        <f>IF('Données projet'!$A$88&gt;35,BD64+BC65-BL64,IF(A65&lt;'Données projet'!$A$88,$BA$205^A65,IF(A65='Données projet'!$A$88,'Données projet'!$B$88,BD64+BC65-BL64)))</f>
        <v>144.79999999999998</v>
      </c>
      <c r="BE65" s="13">
        <f>BD65*VLOOKUP('Données projet'!$B$11,Paramètres!$A$1:$I$89,3,0)*VLOOKUP('Données projet'!$B$11,Paramètres!$A$1:$I$89,5,0)</f>
        <v>140.05055999999999</v>
      </c>
      <c r="BF65" s="13">
        <f t="shared" si="37"/>
        <v>36.308587837605089</v>
      </c>
      <c r="BG65" s="20">
        <f t="shared" si="7"/>
        <v>307.15884915049543</v>
      </c>
      <c r="BH65" s="59">
        <f t="shared" si="8"/>
        <v>600.49218248382874</v>
      </c>
      <c r="BI65" s="59">
        <f ca="1">AVERAGE(OFFSET($BH$3,0,0,'Données projet'!$E$11+1,1))-AVERAGE(OFFSET($H$3,0,0,'Données projet'!$E$11+1,1))</f>
        <v>131.02416800340484</v>
      </c>
      <c r="BJ65" s="59">
        <f t="shared" si="38"/>
        <v>79.394119001888555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10.755464163891757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10.755464163891757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5.4</v>
      </c>
      <c r="BY65" s="12">
        <f>IF('Données projet'!$A$114&gt;35,BY64+BX65-CG64,IF(A65&lt;'Données projet'!$A$114,$BV$205^A65,IF(A65='Données projet'!$A$114,'Données projet'!$B$114,BY64+BX65-CG64)))</f>
        <v>144.79999999999998</v>
      </c>
      <c r="BZ65" s="13">
        <f>BY65*VLOOKUP('Données projet'!$B$12,Paramètres!$A$1:$I$89,3,0)*VLOOKUP('Données projet'!$B$12,Paramètres!$A$1:$I$89,5,0)</f>
        <v>131.01503999999997</v>
      </c>
      <c r="CA65" s="13">
        <f t="shared" si="39"/>
        <v>34.230798998779804</v>
      </c>
      <c r="CB65" s="20">
        <f t="shared" si="10"/>
        <v>287.80316958954148</v>
      </c>
      <c r="CC65" s="59">
        <f t="shared" si="11"/>
        <v>581.1365029228748</v>
      </c>
      <c r="CD65" s="59">
        <f ca="1">AVERAGE(OFFSET($CC$3,0,0,'Données projet'!$E$12+1,1))-AVERAGE(OFFSET($H$3,0,0,'Données projet'!$E$12+1,1))</f>
        <v>119.62076457560073</v>
      </c>
      <c r="CE65" s="59">
        <f t="shared" si="40"/>
        <v>72.011647893875363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10.061563250092286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10.061563250092286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5.4</v>
      </c>
      <c r="CT65" s="12">
        <f>IF('Données projet'!$A$140&gt;35,CT64+CS65-DB64,IF(A65&lt;'Données projet'!$A$140,$CQ$205^A65,IF(A65='Données projet'!$A$140,'Données projet'!$B$140,CT64+CS65-DB64)))</f>
        <v>144.79999999999998</v>
      </c>
      <c r="CU65" s="17">
        <f>CT65*VLOOKUP('Données projet'!$B$13,Paramètres!$A$1:$I$89,3,0)*VLOOKUP('Données projet'!$B$13,Paramètres!$A$1:$I$89,5,0)</f>
        <v>155.86271999999997</v>
      </c>
      <c r="CV65" s="13">
        <f t="shared" si="41"/>
        <v>39.907922284180763</v>
      </c>
      <c r="CW65" s="20">
        <f t="shared" si="13"/>
        <v>340.96720197828142</v>
      </c>
      <c r="CX65" s="59">
        <f t="shared" si="14"/>
        <v>634.30053531161479</v>
      </c>
      <c r="CY65" s="59">
        <f ca="1">AVERAGE(OFFSET($CX$3,0,0,'Données projet'!$E$13+1,1))-AVERAGE(OFFSET($H$3,0,0,'Données projet'!$E$13+1,1))</f>
        <v>150.9416300233616</v>
      </c>
      <c r="CZ65" s="59">
        <f t="shared" si="42"/>
        <v>92.286636088269972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11.969790763040821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11.969790763040821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11.4</v>
      </c>
      <c r="DO65" s="12">
        <f>IF('Données projet'!$A$166&gt;35,DO64+DN65-DW64,IF(A65&lt;'Données projet'!$A$166,$DL$205^A65,IF(A65='Données projet'!$A$166,'Données projet'!$B$166,DO64+DN65-DW64)))</f>
        <v>405.7999999999995</v>
      </c>
      <c r="DP65" s="17">
        <f>DO65*VLOOKUP('Données projet'!$B$14,Paramètres!$A$1:$I$89,3,0)*VLOOKUP('Données projet'!$B$14,Paramètres!$A$1:$I$89,5,0)</f>
        <v>242.66839999999971</v>
      </c>
      <c r="DQ65" s="13">
        <f t="shared" si="43"/>
        <v>59.013279764051227</v>
      </c>
      <c r="DR65" s="20">
        <f t="shared" si="16"/>
        <v>525.42892558905544</v>
      </c>
      <c r="DS65" s="59">
        <f t="shared" si="17"/>
        <v>818.76225892238881</v>
      </c>
      <c r="DT65" s="59">
        <f ca="1">AVERAGE(OFFSET($DS$3,0,0,'Données projet'!$E$14+1,1))-AVERAGE(OFFSET($H$3,0,0,'Données projet'!$E$14+1,1))</f>
        <v>249.22792522076639</v>
      </c>
      <c r="DU65" s="59">
        <f t="shared" si="44"/>
        <v>244.53725944480669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40.07483879313061</v>
      </c>
      <c r="EB65" s="21">
        <f>EXP(-LN(2)/25)*EB64+(1-EXP(-LN(2)/25))/(LN(2)/25)*Calculateur!DW65*Calculateur!DY65*VLOOKUP('Données projet'!$B$14,Paramètres!$A$1:$I$89,3,0)*0.475*44/12</f>
        <v>18.760858653359985</v>
      </c>
      <c r="EC65" s="21">
        <f>EXP(-LN(2)/2)*EC64+(1-EXP(-LN(2)/2))/(LN(2)/2)*DW65*DZ65*VLOOKUP('Données projet'!$B$14,Paramètres!$A$1:$I$89,3,0)*0.475*44/12</f>
        <v>1.7838342330688843</v>
      </c>
      <c r="ED65" s="22">
        <f t="shared" si="18"/>
        <v>60.619531679559486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2.2737367544323206E-13</v>
      </c>
      <c r="EK65" s="17">
        <f>EJ65*VLOOKUP('Données projet'!$B$15,Paramètres!$A$1:$I$89,3,0)*VLOOKUP('Données projet'!$B$15,Paramètres!$A$1:$I$89,5,0)</f>
        <v>1.2710188457276673E-13</v>
      </c>
      <c r="EL65" s="13">
        <f t="shared" si="45"/>
        <v>1.856866851063998E-12</v>
      </c>
      <c r="EM65" s="20">
        <f t="shared" si="19"/>
        <v>3.4554122145673649E-12</v>
      </c>
      <c r="EN65" s="59">
        <f t="shared" si="20"/>
        <v>293.33333333333678</v>
      </c>
      <c r="EO65" s="59">
        <f ca="1">AVERAGE(OFFSET($EN$3,0,0,'Données projet'!$E$15+1,1))-AVERAGE(OFFSET($H$3,0,0,'Données projet'!$E$15+1,1))</f>
        <v>313.36787814924116</v>
      </c>
      <c r="EP65" s="59">
        <f t="shared" si="46"/>
        <v>438.72984487610216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233.18739747563563</v>
      </c>
      <c r="EW65" s="21">
        <f>EXP(-LN(2)/25)*EW64+(1-EXP(-LN(2)/25))/(LN(2)/25)*Calculateur!ER65*Calculateur!ET65*VLOOKUP('Données projet'!$B$15,Paramètres!$A$1:$I$89,3,0)*0.475*44/12</f>
        <v>44.784812470755902</v>
      </c>
      <c r="EX65" s="21">
        <f>EXP(-LN(2)/2)*EX64+(1-EXP(-LN(2)/2))/(LN(2)/2)*ER65*EU65*VLOOKUP('Données projet'!$B$15,Paramètres!$A$1:$I$89,3,0)*0.475*44/12</f>
        <v>0.59263354690515502</v>
      </c>
      <c r="EY65" s="22">
        <f t="shared" si="21"/>
        <v>278.56484349329673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5.4</v>
      </c>
      <c r="N66" s="13">
        <f>IF('Données projet'!$A$36&gt;35,N65+M66-V65,IF(A66&lt;'Données projet'!$A$36,$K$205^A66,IF(A66='Données projet'!$A$36,'Données projet'!$B$36,N65+M66-V65)))</f>
        <v>150.19999999999999</v>
      </c>
      <c r="O66" s="13">
        <f>N66*VLOOKUP('Données projet'!$B$9,Paramètres!$A$1:$I$89,3,0)*VLOOKUP('Données projet'!$B$9,Paramètres!$A$1:$I$89,5,0)</f>
        <v>135.90095999999997</v>
      </c>
      <c r="P66" s="13">
        <f t="shared" si="33"/>
        <v>35.356355142892255</v>
      </c>
      <c r="Q66" s="20">
        <f t="shared" si="53"/>
        <v>298.27315720720395</v>
      </c>
      <c r="R66" s="59">
        <f t="shared" si="0"/>
        <v>591.60649054053727</v>
      </c>
      <c r="S66" s="59">
        <f ca="1">AVERAGE(OFFSET($R$3,0,0,'Données projet'!$E$9+1,1))-AVERAGE(OFFSET($H$3,0,0,'Données projet'!$E$9+1,1))</f>
        <v>173.91998182168385</v>
      </c>
      <c r="T66" s="59">
        <f t="shared" si="34"/>
        <v>72.011647893875363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5.7817134382297537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5.7817134382297537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5.4</v>
      </c>
      <c r="AI66" s="13">
        <f>IF('Données projet'!$A$62&gt;35,AI65+AH66-AQ65,IF(A66&lt;'Données projet'!$A$62,$AF$205^A66,IF(A66='Données projet'!$A$62,'Données projet'!$B$62,AI65+AH66-AQ65)))</f>
        <v>150.19999999999999</v>
      </c>
      <c r="AJ66" s="13">
        <f>AI66*VLOOKUP('Données projet'!$B$10,Paramètres!$A$1:$I$89,3,0)*VLOOKUP('Données projet'!$B$10,Paramètres!$A$1:$I$89,5,0)</f>
        <v>161.67527999999999</v>
      </c>
      <c r="AK66" s="13">
        <f t="shared" si="35"/>
        <v>41.22015011524379</v>
      </c>
      <c r="AL66" s="20">
        <f t="shared" si="4"/>
        <v>353.37620745071621</v>
      </c>
      <c r="AM66" s="59">
        <f t="shared" si="5"/>
        <v>646.70954078404952</v>
      </c>
      <c r="AN66" s="59">
        <f ca="1">AVERAGE(OFFSET($AM$3,0,0,'Données projet'!$E$10+1,1))-AVERAGE(OFFSET($H$3,0,0,'Données projet'!$E$10+1,1))</f>
        <v>150.9416300233616</v>
      </c>
      <c r="AO66" s="59">
        <f t="shared" si="36"/>
        <v>92.286636088269972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11.735070467029058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11.735070467029058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5.4</v>
      </c>
      <c r="BD66" s="12">
        <f>IF('Données projet'!$A$88&gt;35,BD65+BC66-BL65,IF(A66&lt;'Données projet'!$A$88,$BA$205^A66,IF(A66='Données projet'!$A$88,'Données projet'!$B$88,BD65+BC66-BL65)))</f>
        <v>150.19999999999999</v>
      </c>
      <c r="BE66" s="13">
        <f>BD66*VLOOKUP('Données projet'!$B$11,Paramètres!$A$1:$I$89,3,0)*VLOOKUP('Données projet'!$B$11,Paramètres!$A$1:$I$89,5,0)</f>
        <v>145.27343999999999</v>
      </c>
      <c r="BF66" s="13">
        <f t="shared" si="37"/>
        <v>37.502464560322572</v>
      </c>
      <c r="BG66" s="20">
        <f t="shared" si="7"/>
        <v>318.33470044256177</v>
      </c>
      <c r="BH66" s="59">
        <f t="shared" si="8"/>
        <v>611.66803377589508</v>
      </c>
      <c r="BI66" s="59">
        <f ca="1">AVERAGE(OFFSET($BH$3,0,0,'Données projet'!$E$11+1,1))-AVERAGE(OFFSET($H$3,0,0,'Données projet'!$E$11+1,1))</f>
        <v>131.02416800340484</v>
      </c>
      <c r="BJ66" s="59">
        <f t="shared" si="38"/>
        <v>79.394119001888555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10.544556071823216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10.544556071823216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5.4</v>
      </c>
      <c r="BY66" s="12">
        <f>IF('Données projet'!$A$114&gt;35,BY65+BX66-CG65,IF(A66&lt;'Données projet'!$A$114,$BV$205^A66,IF(A66='Données projet'!$A$114,'Données projet'!$B$114,BY65+BX66-CG65)))</f>
        <v>150.19999999999999</v>
      </c>
      <c r="BZ66" s="13">
        <f>BY66*VLOOKUP('Données projet'!$B$12,Paramètres!$A$1:$I$89,3,0)*VLOOKUP('Données projet'!$B$12,Paramètres!$A$1:$I$89,5,0)</f>
        <v>135.90095999999997</v>
      </c>
      <c r="CA66" s="13">
        <f t="shared" si="39"/>
        <v>35.356355142892255</v>
      </c>
      <c r="CB66" s="20">
        <f t="shared" si="10"/>
        <v>298.27315720720395</v>
      </c>
      <c r="CC66" s="59">
        <f t="shared" si="11"/>
        <v>591.60649054053727</v>
      </c>
      <c r="CD66" s="59">
        <f ca="1">AVERAGE(OFFSET($CC$3,0,0,'Données projet'!$E$12+1,1))-AVERAGE(OFFSET($H$3,0,0,'Données projet'!$E$12+1,1))</f>
        <v>119.62076457560073</v>
      </c>
      <c r="CE66" s="59">
        <f t="shared" si="40"/>
        <v>72.011647893875363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9.8642621317055852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9.8642621317055852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5.4</v>
      </c>
      <c r="CT66" s="12">
        <f>IF('Données projet'!$A$140&gt;35,CT65+CS66-DB65,IF(A66&lt;'Données projet'!$A$140,$CQ$205^A66,IF(A66='Données projet'!$A$140,'Données projet'!$B$140,CT65+CS66-DB65)))</f>
        <v>150.19999999999999</v>
      </c>
      <c r="CU66" s="17">
        <f>CT66*VLOOKUP('Données projet'!$B$13,Paramètres!$A$1:$I$89,3,0)*VLOOKUP('Données projet'!$B$13,Paramètres!$A$1:$I$89,5,0)</f>
        <v>161.67527999999999</v>
      </c>
      <c r="CV66" s="13">
        <f t="shared" si="41"/>
        <v>41.22015011524379</v>
      </c>
      <c r="CW66" s="20">
        <f t="shared" si="13"/>
        <v>353.37620745071621</v>
      </c>
      <c r="CX66" s="59">
        <f t="shared" si="14"/>
        <v>646.70954078404952</v>
      </c>
      <c r="CY66" s="59">
        <f ca="1">AVERAGE(OFFSET($CX$3,0,0,'Données projet'!$E$13+1,1))-AVERAGE(OFFSET($H$3,0,0,'Données projet'!$E$13+1,1))</f>
        <v>150.9416300233616</v>
      </c>
      <c r="CZ66" s="59">
        <f t="shared" si="42"/>
        <v>92.286636088269972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11.735070467029058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11.735070467029058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11.4</v>
      </c>
      <c r="DO66" s="12">
        <f>IF('Données projet'!$A$166&gt;35,DO65+DN66-DW65,IF(A66&lt;'Données projet'!$A$166,$DL$205^A66,IF(A66='Données projet'!$A$166,'Données projet'!$B$166,DO65+DN66-DW65)))</f>
        <v>417.19999999999948</v>
      </c>
      <c r="DP66" s="17">
        <f>DO66*VLOOKUP('Données projet'!$B$14,Paramètres!$A$1:$I$89,3,0)*VLOOKUP('Données projet'!$B$14,Paramètres!$A$1:$I$89,5,0)</f>
        <v>249.48559999999972</v>
      </c>
      <c r="DQ66" s="13">
        <f t="shared" si="43"/>
        <v>60.475776633448604</v>
      </c>
      <c r="DR66" s="20">
        <f t="shared" si="16"/>
        <v>539.84939763658917</v>
      </c>
      <c r="DS66" s="59">
        <f t="shared" si="17"/>
        <v>833.18273096992243</v>
      </c>
      <c r="DT66" s="59">
        <f ca="1">AVERAGE(OFFSET($DS$3,0,0,'Données projet'!$E$14+1,1))-AVERAGE(OFFSET($H$3,0,0,'Données projet'!$E$14+1,1))</f>
        <v>249.22792522076639</v>
      </c>
      <c r="DU66" s="59">
        <f t="shared" si="44"/>
        <v>244.53725944480669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39.28899564763541</v>
      </c>
      <c r="EB66" s="21">
        <f>EXP(-LN(2)/25)*EB65+(1-EXP(-LN(2)/25))/(LN(2)/25)*Calculateur!DW66*Calculateur!DY66*VLOOKUP('Données projet'!$B$14,Paramètres!$A$1:$I$89,3,0)*0.475*44/12</f>
        <v>18.247841986893178</v>
      </c>
      <c r="EC66" s="21">
        <f>EXP(-LN(2)/2)*EC65+(1-EXP(-LN(2)/2))/(LN(2)/2)*DW66*DZ66*VLOOKUP('Données projet'!$B$14,Paramètres!$A$1:$I$89,3,0)*0.475*44/12</f>
        <v>1.2613612827157126</v>
      </c>
      <c r="ED66" s="22">
        <f t="shared" si="18"/>
        <v>58.798198917244299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2.2737367544323206E-13</v>
      </c>
      <c r="EK66" s="17">
        <f>EJ66*VLOOKUP('Données projet'!$B$15,Paramètres!$A$1:$I$89,3,0)*VLOOKUP('Données projet'!$B$15,Paramètres!$A$1:$I$89,5,0)</f>
        <v>1.2710188457276673E-13</v>
      </c>
      <c r="EL66" s="13">
        <f t="shared" si="45"/>
        <v>1.856866851063998E-12</v>
      </c>
      <c r="EM66" s="20">
        <f t="shared" si="19"/>
        <v>3.4554122145673649E-12</v>
      </c>
      <c r="EN66" s="59">
        <f t="shared" si="20"/>
        <v>293.33333333333678</v>
      </c>
      <c r="EO66" s="59">
        <f ca="1">AVERAGE(OFFSET($EN$3,0,0,'Données projet'!$E$15+1,1))-AVERAGE(OFFSET($H$3,0,0,'Données projet'!$E$15+1,1))</f>
        <v>313.36787814924116</v>
      </c>
      <c r="EP66" s="59">
        <f t="shared" si="46"/>
        <v>438.72984487610216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228.6147348414068</v>
      </c>
      <c r="EW66" s="21">
        <f>EXP(-LN(2)/25)*EW65+(1-EXP(-LN(2)/25))/(LN(2)/25)*Calculateur!ER66*Calculateur!ET66*VLOOKUP('Données projet'!$B$15,Paramètres!$A$1:$I$89,3,0)*0.475*44/12</f>
        <v>43.560169418612155</v>
      </c>
      <c r="EX66" s="21">
        <f>EXP(-LN(2)/2)*EX65+(1-EXP(-LN(2)/2))/(LN(2)/2)*ER66*EU66*VLOOKUP('Données projet'!$B$15,Paramètres!$A$1:$I$89,3,0)*0.475*44/12</f>
        <v>0.419055199775271</v>
      </c>
      <c r="EY66" s="22">
        <f t="shared" si="21"/>
        <v>272.59395945979418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5.4</v>
      </c>
      <c r="N67" s="13">
        <f>IF('Données projet'!$A$36&gt;35,N66+M67-V66,IF(A67&lt;'Données projet'!$A$36,$K$205^A67,IF(A67='Données projet'!$A$36,'Données projet'!$B$36,N66+M67-V66)))</f>
        <v>155.6</v>
      </c>
      <c r="O67" s="13">
        <f>N67*VLOOKUP('Données projet'!$B$9,Paramètres!$A$1:$I$89,3,0)*VLOOKUP('Données projet'!$B$9,Paramètres!$A$1:$I$89,5,0)</f>
        <v>140.78688</v>
      </c>
      <c r="P67" s="13">
        <f t="shared" si="33"/>
        <v>36.47720980905639</v>
      </c>
      <c r="Q67" s="20">
        <f t="shared" ref="Q67:Q98" si="54">(O67+P67)*0.475*44/12</f>
        <v>308.73495641743983</v>
      </c>
      <c r="R67" s="59">
        <f t="shared" ref="R67:R130" si="55">Q67+(I67+J67)*44/12</f>
        <v>602.06828975077315</v>
      </c>
      <c r="S67" s="59">
        <f ca="1">AVERAGE(OFFSET($R$3,0,0,'Données projet'!$E$9+1,1))-AVERAGE(OFFSET($H$3,0,0,'Données projet'!$E$9+1,1))</f>
        <v>173.91998182168385</v>
      </c>
      <c r="T67" s="59">
        <f t="shared" si="34"/>
        <v>72.011647893875363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5.6683375642030525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5.6683375642030525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5.4</v>
      </c>
      <c r="AI67" s="13">
        <f>IF('Données projet'!$A$62&gt;35,AI66+AH67-AQ66,IF(A67&lt;'Données projet'!$A$62,$AF$205^A67,IF(A67='Données projet'!$A$62,'Données projet'!$B$62,AI66+AH67-AQ66)))</f>
        <v>155.6</v>
      </c>
      <c r="AJ67" s="13">
        <f>AI67*VLOOKUP('Données projet'!$B$10,Paramètres!$A$1:$I$89,3,0)*VLOOKUP('Données projet'!$B$10,Paramètres!$A$1:$I$89,5,0)</f>
        <v>167.48783999999998</v>
      </c>
      <c r="AK67" s="13">
        <f t="shared" si="35"/>
        <v>42.526896735757454</v>
      </c>
      <c r="AL67" s="20">
        <f t="shared" si="4"/>
        <v>365.77566648144415</v>
      </c>
      <c r="AM67" s="59">
        <f t="shared" si="5"/>
        <v>659.10899981477746</v>
      </c>
      <c r="AN67" s="59">
        <f ca="1">AVERAGE(OFFSET($AM$3,0,0,'Données projet'!$E$10+1,1))-AVERAGE(OFFSET($H$3,0,0,'Données projet'!$E$10+1,1))</f>
        <v>150.9416300233616</v>
      </c>
      <c r="AO67" s="59">
        <f t="shared" si="36"/>
        <v>92.286636088269972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11.50495289285684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11.50495289285684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5.4</v>
      </c>
      <c r="BD67" s="12">
        <f>IF('Données projet'!$A$88&gt;35,BD66+BC67-BL66,IF(A67&lt;'Données projet'!$A$88,$BA$205^A67,IF(A67='Données projet'!$A$88,'Données projet'!$B$88,BD66+BC67-BL66)))</f>
        <v>155.6</v>
      </c>
      <c r="BE67" s="13">
        <f>BD67*VLOOKUP('Données projet'!$B$11,Paramètres!$A$1:$I$89,3,0)*VLOOKUP('Données projet'!$B$11,Paramètres!$A$1:$I$89,5,0)</f>
        <v>150.49632</v>
      </c>
      <c r="BF67" s="13">
        <f t="shared" si="37"/>
        <v>38.691354428217871</v>
      </c>
      <c r="BG67" s="20">
        <f t="shared" si="7"/>
        <v>329.50186629581282</v>
      </c>
      <c r="BH67" s="59">
        <f t="shared" si="8"/>
        <v>622.83519962914613</v>
      </c>
      <c r="BI67" s="59">
        <f ca="1">AVERAGE(OFFSET($BH$3,0,0,'Données projet'!$E$11+1,1))-AVERAGE(OFFSET($H$3,0,0,'Données projet'!$E$11+1,1))</f>
        <v>131.02416800340484</v>
      </c>
      <c r="BJ67" s="59">
        <f t="shared" si="38"/>
        <v>79.394119001888555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10.337783758798905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10.337783758798905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5.4</v>
      </c>
      <c r="BY67" s="12">
        <f>IF('Données projet'!$A$114&gt;35,BY66+BX67-CG66,IF(A67&lt;'Données projet'!$A$114,$BV$205^A67,IF(A67='Données projet'!$A$114,'Données projet'!$B$114,BY66+BX67-CG66)))</f>
        <v>155.6</v>
      </c>
      <c r="BZ67" s="13">
        <f>BY67*VLOOKUP('Données projet'!$B$12,Paramètres!$A$1:$I$89,3,0)*VLOOKUP('Données projet'!$B$12,Paramètres!$A$1:$I$89,5,0)</f>
        <v>140.78688</v>
      </c>
      <c r="CA67" s="13">
        <f t="shared" si="39"/>
        <v>36.47720980905639</v>
      </c>
      <c r="CB67" s="20">
        <f t="shared" si="10"/>
        <v>308.73495641743983</v>
      </c>
      <c r="CC67" s="59">
        <f t="shared" si="11"/>
        <v>602.06828975077315</v>
      </c>
      <c r="CD67" s="59">
        <f ca="1">AVERAGE(OFFSET($CC$3,0,0,'Données projet'!$E$12+1,1))-AVERAGE(OFFSET($H$3,0,0,'Données projet'!$E$12+1,1))</f>
        <v>119.62076457560073</v>
      </c>
      <c r="CE67" s="59">
        <f t="shared" si="40"/>
        <v>72.011647893875363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9.6708299679086487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9.6708299679086487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5.4</v>
      </c>
      <c r="CT67" s="12">
        <f>IF('Données projet'!$A$140&gt;35,CT66+CS67-DB66,IF(A67&lt;'Données projet'!$A$140,$CQ$205^A67,IF(A67='Données projet'!$A$140,'Données projet'!$B$140,CT66+CS67-DB66)))</f>
        <v>155.6</v>
      </c>
      <c r="CU67" s="17">
        <f>CT67*VLOOKUP('Données projet'!$B$13,Paramètres!$A$1:$I$89,3,0)*VLOOKUP('Données projet'!$B$13,Paramètres!$A$1:$I$89,5,0)</f>
        <v>167.48783999999998</v>
      </c>
      <c r="CV67" s="13">
        <f t="shared" si="41"/>
        <v>42.526896735757454</v>
      </c>
      <c r="CW67" s="20">
        <f t="shared" si="13"/>
        <v>365.77566648144415</v>
      </c>
      <c r="CX67" s="59">
        <f t="shared" si="14"/>
        <v>659.10899981477746</v>
      </c>
      <c r="CY67" s="59">
        <f ca="1">AVERAGE(OFFSET($CX$3,0,0,'Données projet'!$E$13+1,1))-AVERAGE(OFFSET($H$3,0,0,'Données projet'!$E$13+1,1))</f>
        <v>150.9416300233616</v>
      </c>
      <c r="CZ67" s="59">
        <f t="shared" si="42"/>
        <v>92.286636088269972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11.50495289285684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11.50495289285684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11.4</v>
      </c>
      <c r="DO67" s="12">
        <f>IF('Données projet'!$A$166&gt;35,DO66+DN67-DW66,IF(A67&lt;'Données projet'!$A$166,$DL$205^A67,IF(A67='Données projet'!$A$166,'Données projet'!$B$166,DO66+DN67-DW66)))</f>
        <v>428.59999999999945</v>
      </c>
      <c r="DP67" s="17">
        <f>DO67*VLOOKUP('Données projet'!$B$14,Paramètres!$A$1:$I$89,3,0)*VLOOKUP('Données projet'!$B$14,Paramètres!$A$1:$I$89,5,0)</f>
        <v>256.30279999999971</v>
      </c>
      <c r="DQ67" s="13">
        <f t="shared" si="43"/>
        <v>61.933628616328946</v>
      </c>
      <c r="DR67" s="20">
        <f t="shared" si="16"/>
        <v>554.26177984010576</v>
      </c>
      <c r="DS67" s="59">
        <f t="shared" si="17"/>
        <v>847.59511317343913</v>
      </c>
      <c r="DT67" s="59">
        <f ca="1">AVERAGE(OFFSET($DS$3,0,0,'Données projet'!$E$14+1,1))-AVERAGE(OFFSET($H$3,0,0,'Données projet'!$E$14+1,1))</f>
        <v>249.22792522076639</v>
      </c>
      <c r="DU67" s="59">
        <f t="shared" si="44"/>
        <v>244.53725944480669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38.518562406906383</v>
      </c>
      <c r="EB67" s="21">
        <f>EXP(-LN(2)/25)*EB66+(1-EXP(-LN(2)/25))/(LN(2)/25)*Calculateur!DW67*Calculateur!DY67*VLOOKUP('Données projet'!$B$14,Paramètres!$A$1:$I$89,3,0)*0.475*44/12</f>
        <v>17.74885378814928</v>
      </c>
      <c r="EC67" s="21">
        <f>EXP(-LN(2)/2)*EC66+(1-EXP(-LN(2)/2))/(LN(2)/2)*DW67*DZ67*VLOOKUP('Données projet'!$B$14,Paramètres!$A$1:$I$89,3,0)*0.475*44/12</f>
        <v>0.89191711653444239</v>
      </c>
      <c r="ED67" s="22">
        <f t="shared" si="18"/>
        <v>57.159333311590103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2.2737367544323206E-13</v>
      </c>
      <c r="EK67" s="17">
        <f>EJ67*VLOOKUP('Données projet'!$B$15,Paramètres!$A$1:$I$89,3,0)*VLOOKUP('Données projet'!$B$15,Paramètres!$A$1:$I$89,5,0)</f>
        <v>1.2710188457276673E-13</v>
      </c>
      <c r="EL67" s="13">
        <f t="shared" si="45"/>
        <v>1.856866851063998E-12</v>
      </c>
      <c r="EM67" s="20">
        <f t="shared" si="19"/>
        <v>3.4554122145673649E-12</v>
      </c>
      <c r="EN67" s="59">
        <f t="shared" si="20"/>
        <v>293.33333333333678</v>
      </c>
      <c r="EO67" s="59">
        <f ca="1">AVERAGE(OFFSET($EN$3,0,0,'Données projet'!$E$15+1,1))-AVERAGE(OFFSET($H$3,0,0,'Données projet'!$E$15+1,1))</f>
        <v>313.36787814924116</v>
      </c>
      <c r="EP67" s="59">
        <f t="shared" si="46"/>
        <v>438.72984487610216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224.13173933238639</v>
      </c>
      <c r="EW67" s="21">
        <f>EXP(-LN(2)/25)*EW66+(1-EXP(-LN(2)/25))/(LN(2)/25)*Calculateur!ER67*Calculateur!ET67*VLOOKUP('Données projet'!$B$15,Paramètres!$A$1:$I$89,3,0)*0.475*44/12</f>
        <v>42.369014295130455</v>
      </c>
      <c r="EX67" s="21">
        <f>EXP(-LN(2)/2)*EX66+(1-EXP(-LN(2)/2))/(LN(2)/2)*ER67*EU67*VLOOKUP('Données projet'!$B$15,Paramètres!$A$1:$I$89,3,0)*0.475*44/12</f>
        <v>0.29631677345257751</v>
      </c>
      <c r="EY67" s="22">
        <f t="shared" si="21"/>
        <v>266.7970704009694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161</v>
      </c>
      <c r="L68" s="12">
        <f>VLOOKUP(A68,'Données projet'!$A$35:$I$55,9,0)</f>
        <v>5.4</v>
      </c>
      <c r="M68" s="12">
        <f t="array" ref="M68">INDEX(L:L,MIN(IF(ISNUMBER(L68:L264),ROW(L68:L264),"")))</f>
        <v>5.4</v>
      </c>
      <c r="N68" s="13">
        <f>IF('Données projet'!$A$36&gt;35,N67+M68-V67,IF(A68&lt;'Données projet'!$A$36,$K$205^A68,IF(A68='Données projet'!$A$36,'Données projet'!$B$36,N67+M68-V67)))</f>
        <v>161</v>
      </c>
      <c r="O68" s="13">
        <f>N68*VLOOKUP('Données projet'!$B$9,Paramètres!$A$1:$I$89,3,0)*VLOOKUP('Données projet'!$B$9,Paramètres!$A$1:$I$89,5,0)</f>
        <v>145.6728</v>
      </c>
      <c r="P68" s="13">
        <f t="shared" si="33"/>
        <v>37.593544857919731</v>
      </c>
      <c r="Q68" s="20">
        <f t="shared" si="54"/>
        <v>319.18888396087686</v>
      </c>
      <c r="R68" s="59">
        <f t="shared" si="55"/>
        <v>612.52221729421012</v>
      </c>
      <c r="S68" s="59">
        <f ca="1">AVERAGE(OFFSET($R$3,0,0,'Données projet'!$E$9+1,1))-AVERAGE(OFFSET($H$3,0,0,'Données projet'!$E$9+1,1))</f>
        <v>173.91998182168385</v>
      </c>
      <c r="T68" s="59">
        <f t="shared" si="34"/>
        <v>72.011647893875363</v>
      </c>
      <c r="U68" s="15">
        <f>IF(ISNA(VLOOKUP(A68,'Données projet'!$A$35:$I$55,3,0)),0,VLOOKUP(A68,'Données projet'!$A$35:$I$55,3,0))</f>
        <v>9</v>
      </c>
      <c r="V68" s="15">
        <f>IF(ISNA(VLOOKUP(A68,'Données projet'!$A$35:$I$55,4,0)),0,VLOOKUP(A68,'Données projet'!$A$35:$I$55,4,0))</f>
        <v>14</v>
      </c>
      <c r="W68" s="16">
        <f>IF(ISNA(VLOOKUP(A68,'Données projet'!$A$35:$I$55,5,0)),0%,VLOOKUP(A68,'Données projet'!$A$35:$I$55,5,0)*VLOOKUP('Données projet'!$B$9,Paramètres!$A$1:$I$89,7,0))</f>
        <v>0.17200000000000001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7.9657377972721637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7.9657377972721637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161</v>
      </c>
      <c r="AG68" s="12">
        <f>VLOOKUP(A68,'Données projet'!$A$61:$I$81,9,0)</f>
        <v>5.4</v>
      </c>
      <c r="AH68" s="12">
        <f t="array" ref="AH68">INDEX(AG:AG,MIN(IF(ISNUMBER(AG68:AG264),ROW(AG68:AG264),"")))</f>
        <v>5.4</v>
      </c>
      <c r="AI68" s="13">
        <f>IF('Données projet'!$A$62&gt;35,AI67+AH68-AQ67,IF(A68&lt;'Données projet'!$A$62,$AF$205^A68,IF(A68='Données projet'!$A$62,'Données projet'!$B$62,AI67+AH68-AQ67)))</f>
        <v>161</v>
      </c>
      <c r="AJ68" s="13">
        <f>AI68*VLOOKUP('Données projet'!$B$10,Paramètres!$A$1:$I$89,3,0)*VLOOKUP('Données projet'!$B$10,Paramètres!$A$1:$I$89,5,0)</f>
        <v>173.3004</v>
      </c>
      <c r="AK68" s="13">
        <f t="shared" si="35"/>
        <v>43.82837416766705</v>
      </c>
      <c r="AL68" s="20">
        <f t="shared" ref="AL68:AL131" si="58">(AJ68+AK68)*0.475*44/12</f>
        <v>378.1659483420201</v>
      </c>
      <c r="AM68" s="59">
        <f t="shared" ref="AM68:AM131" si="59">AL68+(AD68+AE68)*44/12</f>
        <v>671.49928167535336</v>
      </c>
      <c r="AN68" s="59">
        <f ca="1">AVERAGE(OFFSET($AM$3,0,0,'Données projet'!$E$10+1,1))-AVERAGE(OFFSET($H$3,0,0,'Données projet'!$E$10+1,1))</f>
        <v>150.9416300233616</v>
      </c>
      <c r="AO68" s="59">
        <f t="shared" si="36"/>
        <v>92.286636088269972</v>
      </c>
      <c r="AP68" s="15">
        <f>IF(ISNA(VLOOKUP(A68,'Données projet'!$A$61:$I$81,3,0)),0,VLOOKUP(A68,'Données projet'!$A$61:$I$81,3,0))</f>
        <v>9</v>
      </c>
      <c r="AQ68" s="15">
        <f>IF(ISNA(VLOOKUP(A68,'Données projet'!$A$61:$I$81,4,0)),0,VLOOKUP(A68,'Données projet'!$A$61:$I$81,4,0))</f>
        <v>14</v>
      </c>
      <c r="AR68" s="16">
        <f>IF(ISNA(VLOOKUP(A68,'Données projet'!$A$61:$I$81,5,0)),0%,VLOOKUP(A68,'Données projet'!$A$61:$I$81,5,0)*VLOOKUP('Données projet'!$B$10,Paramètres!$A$1:$I$89,7,0))</f>
        <v>0.25800000000000001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15.577368863259991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15.577368863259991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161</v>
      </c>
      <c r="BB68" s="12">
        <f>VLOOKUP(A68,'Données projet'!$A$87:$I$107,9,0)</f>
        <v>5.4</v>
      </c>
      <c r="BC68" s="12">
        <f t="array" ref="BC68">INDEX(BB:BB,MIN(IF(ISNUMBER(BB68:BB264),ROW(BB68:BB264),"")))</f>
        <v>5.4</v>
      </c>
      <c r="BD68" s="12">
        <f>IF('Données projet'!$A$88&gt;35,BD67+BC68-BL67,IF(A68&lt;'Données projet'!$A$88,$BA$205^A68,IF(A68='Données projet'!$A$88,'Données projet'!$B$88,BD67+BC68-BL67)))</f>
        <v>161</v>
      </c>
      <c r="BE68" s="13">
        <f>BD68*VLOOKUP('Données projet'!$B$11,Paramètres!$A$1:$I$89,3,0)*VLOOKUP('Données projet'!$B$11,Paramètres!$A$1:$I$89,5,0)</f>
        <v>155.7192</v>
      </c>
      <c r="BF68" s="13">
        <f t="shared" si="37"/>
        <v>39.875450340770094</v>
      </c>
      <c r="BG68" s="20">
        <f t="shared" ref="BG68:BG131" si="61">(BE68+BF68)*0.475*44/12</f>
        <v>340.66068267684119</v>
      </c>
      <c r="BH68" s="59">
        <f t="shared" ref="BH68:BH131" si="62">BG68+(AY68+AZ68)*44/12</f>
        <v>633.99401601017451</v>
      </c>
      <c r="BI68" s="59">
        <f ca="1">AVERAGE(OFFSET($BH$3,0,0,'Données projet'!$E$11+1,1))-AVERAGE(OFFSET($H$3,0,0,'Données projet'!$E$11+1,1))</f>
        <v>131.02416800340484</v>
      </c>
      <c r="BJ68" s="59">
        <f t="shared" si="38"/>
        <v>79.394119001888555</v>
      </c>
      <c r="BK68" s="15">
        <f>IF(ISNA(VLOOKUP(A68,'Données projet'!$A$87:$I$107,3,0)),0,VLOOKUP(A68,'Données projet'!$A$87:$I$107,3,0))</f>
        <v>9</v>
      </c>
      <c r="BL68" s="15">
        <f>IF(ISNA(VLOOKUP(A68,'Données projet'!$A$87:$I$107,4,0)),0,VLOOKUP(A68,'Données projet'!$A$87:$I$107,4,0))</f>
        <v>14</v>
      </c>
      <c r="BM68" s="16">
        <f>IF(ISNA(VLOOKUP(A68,'Données projet'!$A$87:$I$107,5,0)),0%,VLOOKUP(A68,'Données projet'!$A$87:$I$107,5,0)*VLOOKUP('Données projet'!$B$11,Paramètres!$A$1:$I$89,7,0))</f>
        <v>0.25800000000000001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13.997056080030724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13.997056080030724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161</v>
      </c>
      <c r="BW68" s="12">
        <f>VLOOKUP(A68,'Données projet'!$A$113:$I$133,9,0)</f>
        <v>5.4</v>
      </c>
      <c r="BX68" s="12">
        <f t="array" ref="BX68">INDEX(BW:BW,MIN(IF(ISNUMBER(BW68:BW264),ROW(BW68:BW264),"")))</f>
        <v>5.4</v>
      </c>
      <c r="BY68" s="12">
        <f>IF('Données projet'!$A$114&gt;35,BY67+BX68-CG67,IF(A68&lt;'Données projet'!$A$114,$BV$205^A68,IF(A68='Données projet'!$A$114,'Données projet'!$B$114,BY67+BX68-CG67)))</f>
        <v>161</v>
      </c>
      <c r="BZ68" s="13">
        <f>BY68*VLOOKUP('Données projet'!$B$12,Paramètres!$A$1:$I$89,3,0)*VLOOKUP('Données projet'!$B$12,Paramètres!$A$1:$I$89,5,0)</f>
        <v>145.6728</v>
      </c>
      <c r="CA68" s="13">
        <f t="shared" si="39"/>
        <v>37.593544857919731</v>
      </c>
      <c r="CB68" s="20">
        <f t="shared" ref="CB68:CB131" si="64">(BZ68+CA68)*0.475*44/12</f>
        <v>319.18888396087686</v>
      </c>
      <c r="CC68" s="59">
        <f t="shared" ref="CC68:CC131" si="65">CB68+(BT68+BU68)*44/12</f>
        <v>612.52221729421012</v>
      </c>
      <c r="CD68" s="59">
        <f ca="1">AVERAGE(OFFSET($CC$3,0,0,'Données projet'!$E$12+1,1))-AVERAGE(OFFSET($H$3,0,0,'Données projet'!$E$12+1,1))</f>
        <v>119.62076457560073</v>
      </c>
      <c r="CE68" s="59">
        <f t="shared" si="40"/>
        <v>72.011647893875363</v>
      </c>
      <c r="CF68" s="15">
        <f>IF(ISNA(VLOOKUP(A68,'Données projet'!$A$113:$I$133,3,0)),0,VLOOKUP(A68,'Données projet'!$A$113:$I$133,3,0))</f>
        <v>9</v>
      </c>
      <c r="CG68" s="15">
        <f>IF(ISNA(VLOOKUP(A68,'Données projet'!$A$113:$I$133,4,0)),0,VLOOKUP(A68,'Données projet'!$A$113:$I$133,4,0))</f>
        <v>14</v>
      </c>
      <c r="CH68" s="16">
        <f>IF(ISNA(VLOOKUP(A68,'Données projet'!$A$113:$I$133,5,0)),0%,VLOOKUP(A68,'Données projet'!$A$113:$I$133,5,0)*VLOOKUP('Données projet'!$B$12,Paramètres!$A$1:$I$89,7,0))</f>
        <v>0.25800000000000001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13.094020203899705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13.094020203899705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161</v>
      </c>
      <c r="CR68" s="12">
        <f>VLOOKUP(A68,'Données projet'!$A$139:$I$159,9,0)</f>
        <v>5.4</v>
      </c>
      <c r="CS68" s="12">
        <f t="array" ref="CS68">INDEX(CR:CR,MIN(IF(ISNUMBER(CR68:CR264),ROW(CR68:CR264),"")))</f>
        <v>5.4</v>
      </c>
      <c r="CT68" s="12">
        <f>IF('Données projet'!$A$140&gt;35,CT67+CS68-DB67,IF(A68&lt;'Données projet'!$A$140,$CQ$205^A68,IF(A68='Données projet'!$A$140,'Données projet'!$B$140,CT67+CS68-DB67)))</f>
        <v>161</v>
      </c>
      <c r="CU68" s="17">
        <f>CT68*VLOOKUP('Données projet'!$B$13,Paramètres!$A$1:$I$89,3,0)*VLOOKUP('Données projet'!$B$13,Paramètres!$A$1:$I$89,5,0)</f>
        <v>173.3004</v>
      </c>
      <c r="CV68" s="13">
        <f t="shared" si="41"/>
        <v>43.82837416766705</v>
      </c>
      <c r="CW68" s="20">
        <f t="shared" ref="CW68:CW131" si="67">(CU68+CV68)*0.475*44/12</f>
        <v>378.1659483420201</v>
      </c>
      <c r="CX68" s="59">
        <f t="shared" ref="CX68:CX131" si="68">CW68+(CO68+CP68)*44/12</f>
        <v>671.49928167535336</v>
      </c>
      <c r="CY68" s="59">
        <f ca="1">AVERAGE(OFFSET($CX$3,0,0,'Données projet'!$E$13+1,1))-AVERAGE(OFFSET($H$3,0,0,'Données projet'!$E$13+1,1))</f>
        <v>150.9416300233616</v>
      </c>
      <c r="CZ68" s="59">
        <f t="shared" si="42"/>
        <v>92.286636088269972</v>
      </c>
      <c r="DA68" s="15">
        <f>IF(ISNA(VLOOKUP(A68,'Données projet'!$A$139:$I$159,3,0)),0,VLOOKUP(A68,'Données projet'!$A$139:$I$159,3,0))</f>
        <v>9</v>
      </c>
      <c r="DB68" s="15">
        <f>IF(ISNA(VLOOKUP(A68,'Données projet'!$A$139:$I$159,4,0)),0,VLOOKUP(A68,'Données projet'!$A$139:$I$159,4,0))</f>
        <v>14</v>
      </c>
      <c r="DC68" s="16">
        <f>IF(ISNA(VLOOKUP(A68,'Données projet'!$A$139:$I$159,5,0)),0%,VLOOKUP(A68,'Données projet'!$A$139:$I$159,5,0)*VLOOKUP('Données projet'!$B$13,Paramètres!$A$1:$I$89,7,0))</f>
        <v>0.25800000000000001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15.577368863259991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15.577368863259991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>
        <f>VLOOKUP(A68,'Données projet'!$A$165:$I$185,2,0)</f>
        <v>440</v>
      </c>
      <c r="DM68" s="12">
        <f>VLOOKUP(A68,'Données projet'!$A$165:$I$185,9,0)</f>
        <v>11.4</v>
      </c>
      <c r="DN68" s="12">
        <f t="array" ref="DN68">INDEX(DM:DM,MIN(IF(ISNUMBER(DM68:DM264),ROW(DM68:DM264),"")))</f>
        <v>11.4</v>
      </c>
      <c r="DO68" s="12">
        <f>IF('Données projet'!$A$166&gt;35,DO67+DN68-DW67,IF(A68&lt;'Données projet'!$A$166,$DL$205^A68,IF(A68='Données projet'!$A$166,'Données projet'!$B$166,DO67+DN68-DW67)))</f>
        <v>439.99999999999943</v>
      </c>
      <c r="DP68" s="17">
        <f>DO68*VLOOKUP('Données projet'!$B$14,Paramètres!$A$1:$I$89,3,0)*VLOOKUP('Données projet'!$B$14,Paramètres!$A$1:$I$89,5,0)</f>
        <v>263.11999999999966</v>
      </c>
      <c r="DQ68" s="13">
        <f t="shared" si="43"/>
        <v>63.386973458751953</v>
      </c>
      <c r="DR68" s="20">
        <f t="shared" ref="DR68:DR131" si="70">(DP68+DQ68)*0.475*44/12</f>
        <v>568.66631210732578</v>
      </c>
      <c r="DS68" s="59">
        <f t="shared" ref="DS68:DS131" si="71">DR68+(DJ68+DK68)*44/12</f>
        <v>861.99964544065915</v>
      </c>
      <c r="DT68" s="59">
        <f ca="1">AVERAGE(OFFSET($DS$3,0,0,'Données projet'!$E$14+1,1))-AVERAGE(OFFSET($H$3,0,0,'Données projet'!$E$14+1,1))</f>
        <v>249.22792522076639</v>
      </c>
      <c r="DU68" s="59">
        <f t="shared" si="44"/>
        <v>244.53725944480669</v>
      </c>
      <c r="DV68" s="15">
        <f>IF(ISNA(VLOOKUP(A68,'Données projet'!$A$165:$I$185,3,0)),0,VLOOKUP(A68,'Données projet'!$A$165:$I$185,3,0))</f>
        <v>11</v>
      </c>
      <c r="DW68" s="15">
        <f>IF(ISNA(VLOOKUP(A68,'Données projet'!$A$165:$I$185,4,0)),0,VLOOKUP(A68,'Données projet'!$A$165:$I$185,4,0))</f>
        <v>26</v>
      </c>
      <c r="DX68" s="16">
        <f>IF(ISNA(VLOOKUP(A68,'Données projet'!$A$165:$I$185,5,0)),0%,VLOOKUP(A68,'Données projet'!$A$165:$I$185,5,0)*VLOOKUP('Données projet'!$B$14,Paramètres!$A$1:$I$89,7,0))</f>
        <v>0.36000000000000004</v>
      </c>
      <c r="DY68" s="16">
        <f>IF(ISNA(VLOOKUP(A68,'Données projet'!$A$165:$I$185,6,0)),0%,VLOOKUP(A68,'Données projet'!$A$165:$I$185,6,0)*VLOOKUP('Données projet'!$B$14,Paramètres!$A$1:$I$89,7,0))</f>
        <v>4.9500000000000002E-2</v>
      </c>
      <c r="DZ68" s="16">
        <f>IF(ISNA(VLOOKUP(A68,'Données projet'!$A$165:$I$185,7,0)),0%,VLOOKUP(A68,'Données projet'!$A$165:$I$185,7,0))</f>
        <v>0.09</v>
      </c>
      <c r="EA68" s="21">
        <f>EXP(-LN(2)/35)*EA67+(1-EXP(-LN(2)/35))/(LN(2)/35)*DW68*DX68*VLOOKUP('Données projet'!$B$14,Paramètres!$A$1:$I$89,3,0)*0.475*44/12</f>
        <v>45.188389587252807</v>
      </c>
      <c r="EB68" s="21">
        <f>EXP(-LN(2)/25)*EB67+(1-EXP(-LN(2)/25))/(LN(2)/25)*Calculateur!DW68*Calculateur!DY68*VLOOKUP('Données projet'!$B$14,Paramètres!$A$1:$I$89,3,0)*0.475*44/12</f>
        <v>18.280449040910003</v>
      </c>
      <c r="EC68" s="21">
        <f>EXP(-LN(2)/2)*EC67+(1-EXP(-LN(2)/2))/(LN(2)/2)*DW68*DZ68*VLOOKUP('Données projet'!$B$14,Paramètres!$A$1:$I$89,3,0)*0.475*44/12</f>
        <v>2.2150359399325903</v>
      </c>
      <c r="ED68" s="22">
        <f t="shared" ref="ED68:ED131" si="72">SUM(EA68:EC68)</f>
        <v>65.683874568095405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2.2737367544323206E-13</v>
      </c>
      <c r="EK68" s="17">
        <f>EJ68*VLOOKUP('Données projet'!$B$15,Paramètres!$A$1:$I$89,3,0)*VLOOKUP('Données projet'!$B$15,Paramètres!$A$1:$I$89,5,0)</f>
        <v>1.2710188457276673E-13</v>
      </c>
      <c r="EL68" s="13">
        <f t="shared" si="45"/>
        <v>1.856866851063998E-12</v>
      </c>
      <c r="EM68" s="20">
        <f t="shared" ref="EM68:EM131" si="73">(EK68+EL68)*0.475*44/12</f>
        <v>3.4554122145673649E-12</v>
      </c>
      <c r="EN68" s="59">
        <f t="shared" ref="EN68:EN131" si="74">EM68+(EE68+EF68)*44/12</f>
        <v>293.33333333333678</v>
      </c>
      <c r="EO68" s="59">
        <f ca="1">AVERAGE(OFFSET($EN$3,0,0,'Données projet'!$E$15+1,1))-AVERAGE(OFFSET($H$3,0,0,'Données projet'!$E$15+1,1))</f>
        <v>313.36787814924116</v>
      </c>
      <c r="EP68" s="59">
        <f t="shared" si="46"/>
        <v>438.72984487610216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219.7366526309406</v>
      </c>
      <c r="EW68" s="21">
        <f>EXP(-LN(2)/25)*EW67+(1-EXP(-LN(2)/25))/(LN(2)/25)*Calculateur!ER68*Calculateur!ET68*VLOOKUP('Données projet'!$B$15,Paramètres!$A$1:$I$89,3,0)*0.475*44/12</f>
        <v>41.210431371140487</v>
      </c>
      <c r="EX68" s="21">
        <f>EXP(-LN(2)/2)*EX67+(1-EXP(-LN(2)/2))/(LN(2)/2)*ER68*EU68*VLOOKUP('Données projet'!$B$15,Paramètres!$A$1:$I$89,3,0)*0.475*44/12</f>
        <v>0.2095275998876355</v>
      </c>
      <c r="EY68" s="22">
        <f t="shared" ref="EY68:EY131" si="75">SUM(EV68:EX68)</f>
        <v>261.15661160196868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5</v>
      </c>
      <c r="N69" s="13">
        <f>IF('Données projet'!$A$36&gt;35,N68+M69-V68,IF(A69&lt;'Données projet'!$A$36,$K$205^A69,IF(A69='Données projet'!$A$36,'Données projet'!$B$36,N68+M69-V68)))</f>
        <v>152</v>
      </c>
      <c r="O69" s="13">
        <f>N69*VLOOKUP('Données projet'!$B$9,Paramètres!$A$1:$I$89,3,0)*VLOOKUP('Données projet'!$B$9,Paramètres!$A$1:$I$89,5,0)</f>
        <v>137.52959999999999</v>
      </c>
      <c r="P69" s="13">
        <f t="shared" ref="P69:P132" si="87">EXP(-1.0587+0.8836*LN(O69)+0.284)</f>
        <v>35.730486489800548</v>
      </c>
      <c r="Q69" s="20">
        <f t="shared" si="54"/>
        <v>301.76131730306923</v>
      </c>
      <c r="R69" s="59">
        <f t="shared" si="55"/>
        <v>595.09465063640255</v>
      </c>
      <c r="S69" s="59">
        <f ca="1">AVERAGE(OFFSET($R$3,0,0,'Données projet'!$E$9+1,1))-AVERAGE(OFFSET($H$3,0,0,'Données projet'!$E$9+1,1))</f>
        <v>173.91998182168385</v>
      </c>
      <c r="T69" s="59">
        <f t="shared" ref="T69:T132" si="88">$T$3</f>
        <v>72.011647893875363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7.8095345376879637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7.8095345376879637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5</v>
      </c>
      <c r="AI69" s="13">
        <f>IF('Données projet'!$A$62&gt;35,AI68+AH69-AQ68,IF(A69&lt;'Données projet'!$A$62,$AF$205^A69,IF(A69='Données projet'!$A$62,'Données projet'!$B$62,AI68+AH69-AQ68)))</f>
        <v>152</v>
      </c>
      <c r="AJ69" s="13">
        <f>AI69*VLOOKUP('Données projet'!$B$10,Paramètres!$A$1:$I$89,3,0)*VLOOKUP('Données projet'!$B$10,Paramètres!$A$1:$I$89,5,0)</f>
        <v>163.61279999999999</v>
      </c>
      <c r="AK69" s="13">
        <f t="shared" ref="AK69:AK132" si="89">EXP(-1.0587+0.8836*LN(AJ69)+0.284)</f>
        <v>41.656330547871804</v>
      </c>
      <c r="AL69" s="20">
        <f t="shared" si="58"/>
        <v>357.51040237087665</v>
      </c>
      <c r="AM69" s="59">
        <f t="shared" si="59"/>
        <v>650.84373570420996</v>
      </c>
      <c r="AN69" s="59">
        <f ca="1">AVERAGE(OFFSET($AM$3,0,0,'Données projet'!$E$10+1,1))-AVERAGE(OFFSET($H$3,0,0,'Données projet'!$E$10+1,1))</f>
        <v>150.9416300233616</v>
      </c>
      <c r="AO69" s="59">
        <f t="shared" ref="AO69:AO132" si="90">$AO$3</f>
        <v>92.286636088269972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15.271906161108298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15.271906161108298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5</v>
      </c>
      <c r="BD69" s="12">
        <f>IF('Données projet'!$A$88&gt;35,BD68+BC69-BL68,IF(A69&lt;'Données projet'!$A$88,$BA$205^A69,IF(A69='Données projet'!$A$88,'Données projet'!$B$88,BD68+BC69-BL68)))</f>
        <v>152</v>
      </c>
      <c r="BE69" s="13">
        <f>BD69*VLOOKUP('Données projet'!$B$11,Paramètres!$A$1:$I$89,3,0)*VLOOKUP('Données projet'!$B$11,Paramètres!$A$1:$I$89,5,0)</f>
        <v>147.01439999999999</v>
      </c>
      <c r="BF69" s="13">
        <f t="shared" ref="BF69:BF132" si="91">EXP(-1.0587+0.8836*LN(BE69)+0.284)</f>
        <v>37.899305454176826</v>
      </c>
      <c r="BG69" s="20">
        <f t="shared" si="61"/>
        <v>322.05803699935797</v>
      </c>
      <c r="BH69" s="59">
        <f t="shared" si="62"/>
        <v>615.39137033269128</v>
      </c>
      <c r="BI69" s="59">
        <f ca="1">AVERAGE(OFFSET($BH$3,0,0,'Données projet'!$E$11+1,1))-AVERAGE(OFFSET($H$3,0,0,'Données projet'!$E$11+1,1))</f>
        <v>131.02416800340484</v>
      </c>
      <c r="BJ69" s="59">
        <f t="shared" ref="BJ69:BJ132" si="92">$BJ$3</f>
        <v>79.394119001888555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13.722582347662536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13.722582347662536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5</v>
      </c>
      <c r="BY69" s="12">
        <f>IF('Données projet'!$A$114&gt;35,BY68+BX69-CG68,IF(A69&lt;'Données projet'!$A$114,$BV$205^A69,IF(A69='Données projet'!$A$114,'Données projet'!$B$114,BY68+BX69-CG68)))</f>
        <v>152</v>
      </c>
      <c r="BZ69" s="13">
        <f>BY69*VLOOKUP('Données projet'!$B$12,Paramètres!$A$1:$I$89,3,0)*VLOOKUP('Données projet'!$B$12,Paramètres!$A$1:$I$89,5,0)</f>
        <v>137.52959999999999</v>
      </c>
      <c r="CA69" s="13">
        <f t="shared" ref="CA69:CA132" si="93">EXP(-1.0587+0.8836*LN(BZ69)+0.284)</f>
        <v>35.730486489800548</v>
      </c>
      <c r="CB69" s="20">
        <f t="shared" si="64"/>
        <v>301.76131730306923</v>
      </c>
      <c r="CC69" s="59">
        <f t="shared" si="65"/>
        <v>595.09465063640255</v>
      </c>
      <c r="CD69" s="59">
        <f ca="1">AVERAGE(OFFSET($CC$3,0,0,'Données projet'!$E$12+1,1))-AVERAGE(OFFSET($H$3,0,0,'Données projet'!$E$12+1,1))</f>
        <v>119.62076457560073</v>
      </c>
      <c r="CE69" s="59">
        <f t="shared" ref="CE69:CE132" si="94">$CE$3</f>
        <v>72.011647893875363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12.837254454264949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12.837254454264949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5</v>
      </c>
      <c r="CT69" s="12">
        <f>IF('Données projet'!$A$140&gt;35,CT68+CS69-DB68,IF(A69&lt;'Données projet'!$A$140,$CQ$205^A69,IF(A69='Données projet'!$A$140,'Données projet'!$B$140,CT68+CS69-DB68)))</f>
        <v>152</v>
      </c>
      <c r="CU69" s="17">
        <f>CT69*VLOOKUP('Données projet'!$B$13,Paramètres!$A$1:$I$89,3,0)*VLOOKUP('Données projet'!$B$13,Paramètres!$A$1:$I$89,5,0)</f>
        <v>163.61279999999999</v>
      </c>
      <c r="CV69" s="13">
        <f t="shared" ref="CV69:CV132" si="95">EXP(-1.0587+0.8836*LN(CU69)+0.284)</f>
        <v>41.656330547871804</v>
      </c>
      <c r="CW69" s="20">
        <f t="shared" si="67"/>
        <v>357.51040237087665</v>
      </c>
      <c r="CX69" s="59">
        <f t="shared" si="68"/>
        <v>650.84373570420996</v>
      </c>
      <c r="CY69" s="59">
        <f ca="1">AVERAGE(OFFSET($CX$3,0,0,'Données projet'!$E$13+1,1))-AVERAGE(OFFSET($H$3,0,0,'Données projet'!$E$13+1,1))</f>
        <v>150.9416300233616</v>
      </c>
      <c r="CZ69" s="59">
        <f t="shared" ref="CZ69:CZ132" si="96">$CZ$3</f>
        <v>92.286636088269972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15.271906161108298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15.271906161108298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10</v>
      </c>
      <c r="DO69" s="12">
        <f>IF('Données projet'!$A$166&gt;35,DO68+DN69-DW68,IF(A69&lt;'Données projet'!$A$166,$DL$205^A69,IF(A69='Données projet'!$A$166,'Données projet'!$B$166,DO68+DN69-DW68)))</f>
        <v>423.99999999999943</v>
      </c>
      <c r="DP69" s="17">
        <f>DO69*VLOOKUP('Données projet'!$B$14,Paramètres!$A$1:$I$89,3,0)*VLOOKUP('Données projet'!$B$14,Paramètres!$A$1:$I$89,5,0)</f>
        <v>253.55199999999968</v>
      </c>
      <c r="DQ69" s="13">
        <f t="shared" ref="DQ69:DQ132" si="97">EXP(-1.0587+0.8836*LN(DP69)+0.284)</f>
        <v>61.34592254261343</v>
      </c>
      <c r="DR69" s="20">
        <f t="shared" si="70"/>
        <v>548.44721509505109</v>
      </c>
      <c r="DS69" s="59">
        <f t="shared" si="71"/>
        <v>841.78054842838446</v>
      </c>
      <c r="DT69" s="59">
        <f ca="1">AVERAGE(OFFSET($DS$3,0,0,'Données projet'!$E$14+1,1))-AVERAGE(OFFSET($H$3,0,0,'Données projet'!$E$14+1,1))</f>
        <v>249.22792522076639</v>
      </c>
      <c r="DU69" s="59">
        <f t="shared" ref="DU69:DU132" si="98">$DU$3</f>
        <v>244.53725944480669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44.302272829642888</v>
      </c>
      <c r="EB69" s="21">
        <f>EXP(-LN(2)/25)*EB68+(1-EXP(-LN(2)/25))/(LN(2)/25)*Calculateur!DW69*Calculateur!DY69*VLOOKUP('Données projet'!$B$14,Paramètres!$A$1:$I$89,3,0)*0.475*44/12</f>
        <v>17.780569200559285</v>
      </c>
      <c r="EC69" s="21">
        <f>EXP(-LN(2)/2)*EC68+(1-EXP(-LN(2)/2))/(LN(2)/2)*DW69*DZ69*VLOOKUP('Données projet'!$B$14,Paramètres!$A$1:$I$89,3,0)*0.475*44/12</f>
        <v>1.5662669336982529</v>
      </c>
      <c r="ED69" s="22">
        <f t="shared" si="72"/>
        <v>63.649108963900424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2.2737367544323206E-13</v>
      </c>
      <c r="EK69" s="17">
        <f>EJ69*VLOOKUP('Données projet'!$B$15,Paramètres!$A$1:$I$89,3,0)*VLOOKUP('Données projet'!$B$15,Paramètres!$A$1:$I$89,5,0)</f>
        <v>1.2710188457276673E-13</v>
      </c>
      <c r="EL69" s="13">
        <f t="shared" ref="EL69:EL132" si="99">EXP(-1.0587+0.8836*LN(EK69)+0.284)</f>
        <v>1.856866851063998E-12</v>
      </c>
      <c r="EM69" s="20">
        <f t="shared" si="73"/>
        <v>3.4554122145673649E-12</v>
      </c>
      <c r="EN69" s="59">
        <f t="shared" si="74"/>
        <v>293.33333333333678</v>
      </c>
      <c r="EO69" s="59">
        <f ca="1">AVERAGE(OFFSET($EN$3,0,0,'Données projet'!$E$15+1,1))-AVERAGE(OFFSET($H$3,0,0,'Données projet'!$E$15+1,1))</f>
        <v>313.36787814924116</v>
      </c>
      <c r="EP69" s="59">
        <f t="shared" ref="EP69:EP132" si="100">$EP$3</f>
        <v>438.72984487610216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215.42775089897196</v>
      </c>
      <c r="EW69" s="21">
        <f>EXP(-LN(2)/25)*EW68+(1-EXP(-LN(2)/25))/(LN(2)/25)*Calculateur!ER69*Calculateur!ET69*VLOOKUP('Données projet'!$B$15,Paramètres!$A$1:$I$89,3,0)*0.475*44/12</f>
        <v>40.08352995813425</v>
      </c>
      <c r="EX69" s="21">
        <f>EXP(-LN(2)/2)*EX68+(1-EXP(-LN(2)/2))/(LN(2)/2)*ER69*EU69*VLOOKUP('Données projet'!$B$15,Paramètres!$A$1:$I$89,3,0)*0.475*44/12</f>
        <v>0.14815838672628875</v>
      </c>
      <c r="EY69" s="22">
        <f t="shared" si="75"/>
        <v>255.65943924383251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5</v>
      </c>
      <c r="N70" s="13">
        <f>IF('Données projet'!$A$36&gt;35,N69+M70-V69,IF(A70&lt;'Données projet'!$A$36,$K$205^A70,IF(A70='Données projet'!$A$36,'Données projet'!$B$36,N69+M70-V69)))</f>
        <v>157</v>
      </c>
      <c r="O70" s="13">
        <f>N70*VLOOKUP('Données projet'!$B$9,Paramètres!$A$1:$I$89,3,0)*VLOOKUP('Données projet'!$B$9,Paramètres!$A$1:$I$89,5,0)</f>
        <v>142.05359999999999</v>
      </c>
      <c r="P70" s="13">
        <f t="shared" si="87"/>
        <v>36.767056963845924</v>
      </c>
      <c r="Q70" s="20">
        <f t="shared" si="54"/>
        <v>311.445977545365</v>
      </c>
      <c r="R70" s="59">
        <f t="shared" si="55"/>
        <v>604.77931087869831</v>
      </c>
      <c r="S70" s="59">
        <f ca="1">AVERAGE(OFFSET($R$3,0,0,'Données projet'!$E$9+1,1))-AVERAGE(OFFSET($H$3,0,0,'Données projet'!$E$9+1,1))</f>
        <v>173.91998182168385</v>
      </c>
      <c r="T70" s="59">
        <f t="shared" si="88"/>
        <v>72.011647893875363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7.656394328749629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7.656394328749629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5</v>
      </c>
      <c r="AI70" s="13">
        <f>IF('Données projet'!$A$62&gt;35,AI69+AH70-AQ69,IF(A70&lt;'Données projet'!$A$62,$AF$205^A70,IF(A70='Données projet'!$A$62,'Données projet'!$B$62,AI69+AH70-AQ69)))</f>
        <v>157</v>
      </c>
      <c r="AJ70" s="13">
        <f>AI70*VLOOKUP('Données projet'!$B$10,Paramètres!$A$1:$I$89,3,0)*VLOOKUP('Données projet'!$B$10,Paramètres!$A$1:$I$89,5,0)</f>
        <v>168.9948</v>
      </c>
      <c r="AK70" s="13">
        <f t="shared" si="89"/>
        <v>42.864814577758281</v>
      </c>
      <c r="AL70" s="20">
        <f t="shared" si="58"/>
        <v>368.98882872292899</v>
      </c>
      <c r="AM70" s="59">
        <f t="shared" si="59"/>
        <v>662.3221620562623</v>
      </c>
      <c r="AN70" s="59">
        <f ca="1">AVERAGE(OFFSET($AM$3,0,0,'Données projet'!$E$10+1,1))-AVERAGE(OFFSET($H$3,0,0,'Données projet'!$E$10+1,1))</f>
        <v>150.9416300233616</v>
      </c>
      <c r="AO70" s="59">
        <f t="shared" si="90"/>
        <v>92.286636088269972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14.972433396231947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14.972433396231947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5</v>
      </c>
      <c r="BD70" s="12">
        <f>IF('Données projet'!$A$88&gt;35,BD69+BC70-BL69,IF(A70&lt;'Données projet'!$A$88,$BA$205^A70,IF(A70='Données projet'!$A$88,'Données projet'!$B$88,BD69+BC70-BL69)))</f>
        <v>157</v>
      </c>
      <c r="BE70" s="13">
        <f>BD70*VLOOKUP('Données projet'!$B$11,Paramètres!$A$1:$I$89,3,0)*VLOOKUP('Données projet'!$B$11,Paramètres!$A$1:$I$89,5,0)</f>
        <v>151.85040000000001</v>
      </c>
      <c r="BF70" s="13">
        <f t="shared" si="91"/>
        <v>38.998795130362446</v>
      </c>
      <c r="BG70" s="20">
        <f t="shared" si="61"/>
        <v>332.39568151871464</v>
      </c>
      <c r="BH70" s="59">
        <f t="shared" si="62"/>
        <v>625.72901485204795</v>
      </c>
      <c r="BI70" s="59">
        <f ca="1">AVERAGE(OFFSET($BH$3,0,0,'Données projet'!$E$11+1,1))-AVERAGE(OFFSET($H$3,0,0,'Données projet'!$E$11+1,1))</f>
        <v>131.02416800340484</v>
      </c>
      <c r="BJ70" s="59">
        <f t="shared" si="92"/>
        <v>79.394119001888555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13.453490877773643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13.453490877773643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5</v>
      </c>
      <c r="BY70" s="12">
        <f>IF('Données projet'!$A$114&gt;35,BY69+BX70-CG69,IF(A70&lt;'Données projet'!$A$114,$BV$205^A70,IF(A70='Données projet'!$A$114,'Données projet'!$B$114,BY69+BX70-CG69)))</f>
        <v>157</v>
      </c>
      <c r="BZ70" s="13">
        <f>BY70*VLOOKUP('Données projet'!$B$12,Paramètres!$A$1:$I$89,3,0)*VLOOKUP('Données projet'!$B$12,Paramètres!$A$1:$I$89,5,0)</f>
        <v>142.05359999999999</v>
      </c>
      <c r="CA70" s="13">
        <f t="shared" si="93"/>
        <v>36.767056963845924</v>
      </c>
      <c r="CB70" s="20">
        <f t="shared" si="64"/>
        <v>311.445977545365</v>
      </c>
      <c r="CC70" s="59">
        <f t="shared" si="65"/>
        <v>604.77931087869831</v>
      </c>
      <c r="CD70" s="59">
        <f ca="1">AVERAGE(OFFSET($CC$3,0,0,'Données projet'!$E$12+1,1))-AVERAGE(OFFSET($H$3,0,0,'Données projet'!$E$12+1,1))</f>
        <v>119.62076457560073</v>
      </c>
      <c r="CE70" s="59">
        <f t="shared" si="94"/>
        <v>72.011647893875363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12.585523724368887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12.585523724368887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5</v>
      </c>
      <c r="CT70" s="12">
        <f>IF('Données projet'!$A$140&gt;35,CT69+CS70-DB69,IF(A70&lt;'Données projet'!$A$140,$CQ$205^A70,IF(A70='Données projet'!$A$140,'Données projet'!$B$140,CT69+CS70-DB69)))</f>
        <v>157</v>
      </c>
      <c r="CU70" s="17">
        <f>CT70*VLOOKUP('Données projet'!$B$13,Paramètres!$A$1:$I$89,3,0)*VLOOKUP('Données projet'!$B$13,Paramètres!$A$1:$I$89,5,0)</f>
        <v>168.9948</v>
      </c>
      <c r="CV70" s="13">
        <f t="shared" si="95"/>
        <v>42.864814577758281</v>
      </c>
      <c r="CW70" s="20">
        <f t="shared" si="67"/>
        <v>368.98882872292899</v>
      </c>
      <c r="CX70" s="59">
        <f t="shared" si="68"/>
        <v>662.3221620562623</v>
      </c>
      <c r="CY70" s="59">
        <f ca="1">AVERAGE(OFFSET($CX$3,0,0,'Données projet'!$E$13+1,1))-AVERAGE(OFFSET($H$3,0,0,'Données projet'!$E$13+1,1))</f>
        <v>150.9416300233616</v>
      </c>
      <c r="CZ70" s="59">
        <f t="shared" si="96"/>
        <v>92.286636088269972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14.972433396231947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14.972433396231947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10</v>
      </c>
      <c r="DO70" s="12">
        <f>IF('Données projet'!$A$166&gt;35,DO69+DN70-DW69,IF(A70&lt;'Données projet'!$A$166,$DL$205^A70,IF(A70='Données projet'!$A$166,'Données projet'!$B$166,DO69+DN70-DW69)))</f>
        <v>433.99999999999943</v>
      </c>
      <c r="DP70" s="17">
        <f>DO70*VLOOKUP('Données projet'!$B$14,Paramètres!$A$1:$I$89,3,0)*VLOOKUP('Données projet'!$B$14,Paramètres!$A$1:$I$89,5,0)</f>
        <v>259.5319999999997</v>
      </c>
      <c r="DQ70" s="13">
        <f t="shared" si="97"/>
        <v>62.622608810743841</v>
      </c>
      <c r="DR70" s="20">
        <f t="shared" si="70"/>
        <v>561.0859436787116</v>
      </c>
      <c r="DS70" s="59">
        <f t="shared" si="71"/>
        <v>854.41927701204486</v>
      </c>
      <c r="DT70" s="59">
        <f ca="1">AVERAGE(OFFSET($DS$3,0,0,'Données projet'!$E$14+1,1))-AVERAGE(OFFSET($H$3,0,0,'Données projet'!$E$14+1,1))</f>
        <v>249.22792522076639</v>
      </c>
      <c r="DU70" s="59">
        <f t="shared" si="98"/>
        <v>244.53725944480669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43.433532281171843</v>
      </c>
      <c r="EB70" s="21">
        <f>EXP(-LN(2)/25)*EB69+(1-EXP(-LN(2)/25))/(LN(2)/25)*Calculateur!DW70*Calculateur!DY70*VLOOKUP('Données projet'!$B$14,Paramètres!$A$1:$I$89,3,0)*0.475*44/12</f>
        <v>17.294358600730494</v>
      </c>
      <c r="EC70" s="21">
        <f>EXP(-LN(2)/2)*EC69+(1-EXP(-LN(2)/2))/(LN(2)/2)*DW70*DZ70*VLOOKUP('Données projet'!$B$14,Paramètres!$A$1:$I$89,3,0)*0.475*44/12</f>
        <v>1.1075179699662954</v>
      </c>
      <c r="ED70" s="22">
        <f t="shared" si="72"/>
        <v>61.835408851868635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2.2737367544323206E-13</v>
      </c>
      <c r="EK70" s="17">
        <f>EJ70*VLOOKUP('Données projet'!$B$15,Paramètres!$A$1:$I$89,3,0)*VLOOKUP('Données projet'!$B$15,Paramètres!$A$1:$I$89,5,0)</f>
        <v>1.2710188457276673E-13</v>
      </c>
      <c r="EL70" s="13">
        <f t="shared" si="99"/>
        <v>1.856866851063998E-12</v>
      </c>
      <c r="EM70" s="20">
        <f t="shared" si="73"/>
        <v>3.4554122145673649E-12</v>
      </c>
      <c r="EN70" s="59">
        <f t="shared" si="74"/>
        <v>293.33333333333678</v>
      </c>
      <c r="EO70" s="59">
        <f ca="1">AVERAGE(OFFSET($EN$3,0,0,'Données projet'!$E$15+1,1))-AVERAGE(OFFSET($H$3,0,0,'Données projet'!$E$15+1,1))</f>
        <v>313.36787814924116</v>
      </c>
      <c r="EP70" s="59">
        <f t="shared" si="100"/>
        <v>438.72984487610216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211.20334410179672</v>
      </c>
      <c r="EW70" s="21">
        <f>EXP(-LN(2)/25)*EW69+(1-EXP(-LN(2)/25))/(LN(2)/25)*Calculateur!ER70*Calculateur!ET70*VLOOKUP('Données projet'!$B$15,Paramètres!$A$1:$I$89,3,0)*0.475*44/12</f>
        <v>38.987443723527839</v>
      </c>
      <c r="EX70" s="21">
        <f>EXP(-LN(2)/2)*EX69+(1-EXP(-LN(2)/2))/(LN(2)/2)*ER70*EU70*VLOOKUP('Données projet'!$B$15,Paramètres!$A$1:$I$89,3,0)*0.475*44/12</f>
        <v>0.10476379994381775</v>
      </c>
      <c r="EY70" s="22">
        <f t="shared" si="75"/>
        <v>250.29555162526836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5</v>
      </c>
      <c r="N71" s="13">
        <f>IF('Données projet'!$A$36&gt;35,N70+M71-V70,IF(A71&lt;'Données projet'!$A$36,$K$205^A71,IF(A71='Données projet'!$A$36,'Données projet'!$B$36,N70+M71-V70)))</f>
        <v>162</v>
      </c>
      <c r="O71" s="13">
        <f>N71*VLOOKUP('Données projet'!$B$9,Paramètres!$A$1:$I$89,3,0)*VLOOKUP('Données projet'!$B$9,Paramètres!$A$1:$I$89,5,0)</f>
        <v>146.57759999999999</v>
      </c>
      <c r="P71" s="13">
        <f t="shared" si="87"/>
        <v>37.799791292871248</v>
      </c>
      <c r="Q71" s="20">
        <f t="shared" si="54"/>
        <v>321.12395650175074</v>
      </c>
      <c r="R71" s="59">
        <f t="shared" si="55"/>
        <v>614.45728983508411</v>
      </c>
      <c r="S71" s="59">
        <f ca="1">AVERAGE(OFFSET($R$3,0,0,'Données projet'!$E$9+1,1))-AVERAGE(OFFSET($H$3,0,0,'Données projet'!$E$9+1,1))</f>
        <v>173.91998182168385</v>
      </c>
      <c r="T71" s="59">
        <f t="shared" si="88"/>
        <v>72.011647893875363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7.5062571059022707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7.5062571059022707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5</v>
      </c>
      <c r="AI71" s="13">
        <f>IF('Données projet'!$A$62&gt;35,AI70+AH71-AQ70,IF(A71&lt;'Données projet'!$A$62,$AF$205^A71,IF(A71='Données projet'!$A$62,'Données projet'!$B$62,AI70+AH71-AQ70)))</f>
        <v>162</v>
      </c>
      <c r="AJ71" s="13">
        <f>AI71*VLOOKUP('Données projet'!$B$10,Paramètres!$A$1:$I$89,3,0)*VLOOKUP('Données projet'!$B$10,Paramètres!$A$1:$I$89,5,0)</f>
        <v>174.37679999999997</v>
      </c>
      <c r="AK71" s="13">
        <f t="shared" si="89"/>
        <v>44.06882624410639</v>
      </c>
      <c r="AL71" s="20">
        <f t="shared" si="58"/>
        <v>380.45946570848531</v>
      </c>
      <c r="AM71" s="59">
        <f t="shared" si="59"/>
        <v>673.79279904181863</v>
      </c>
      <c r="AN71" s="59">
        <f ca="1">AVERAGE(OFFSET($AM$3,0,0,'Données projet'!$E$10+1,1))-AVERAGE(OFFSET($H$3,0,0,'Données projet'!$E$10+1,1))</f>
        <v>150.9416300233616</v>
      </c>
      <c r="AO71" s="59">
        <f t="shared" si="90"/>
        <v>92.286636088269972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14.678833109614473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14.678833109614473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5</v>
      </c>
      <c r="BD71" s="12">
        <f>IF('Données projet'!$A$88&gt;35,BD70+BC71-BL70,IF(A71&lt;'Données projet'!$A$88,$BA$205^A71,IF(A71='Données projet'!$A$88,'Données projet'!$B$88,BD70+BC71-BL70)))</f>
        <v>162</v>
      </c>
      <c r="BE71" s="13">
        <f>BD71*VLOOKUP('Données projet'!$B$11,Paramètres!$A$1:$I$89,3,0)*VLOOKUP('Données projet'!$B$11,Paramètres!$A$1:$I$89,5,0)</f>
        <v>156.68639999999999</v>
      </c>
      <c r="BF71" s="13">
        <f t="shared" si="91"/>
        <v>40.094215809840712</v>
      </c>
      <c r="BG71" s="20">
        <f t="shared" si="61"/>
        <v>342.7262392021392</v>
      </c>
      <c r="BH71" s="59">
        <f t="shared" si="62"/>
        <v>636.05957253547251</v>
      </c>
      <c r="BI71" s="59">
        <f ca="1">AVERAGE(OFFSET($BH$3,0,0,'Données projet'!$E$11+1,1))-AVERAGE(OFFSET($H$3,0,0,'Données projet'!$E$11+1,1))</f>
        <v>131.02416800340484</v>
      </c>
      <c r="BJ71" s="59">
        <f t="shared" si="92"/>
        <v>79.394119001888555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13.189676127479679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13.189676127479679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5</v>
      </c>
      <c r="BY71" s="12">
        <f>IF('Données projet'!$A$114&gt;35,BY70+BX71-CG70,IF(A71&lt;'Données projet'!$A$114,$BV$205^A71,IF(A71='Données projet'!$A$114,'Données projet'!$B$114,BY70+BX71-CG70)))</f>
        <v>162</v>
      </c>
      <c r="BZ71" s="13">
        <f>BY71*VLOOKUP('Données projet'!$B$12,Paramètres!$A$1:$I$89,3,0)*VLOOKUP('Données projet'!$B$12,Paramètres!$A$1:$I$89,5,0)</f>
        <v>146.57759999999999</v>
      </c>
      <c r="CA71" s="13">
        <f t="shared" si="93"/>
        <v>37.799791292871248</v>
      </c>
      <c r="CB71" s="20">
        <f t="shared" si="64"/>
        <v>321.12395650175074</v>
      </c>
      <c r="CC71" s="59">
        <f t="shared" si="65"/>
        <v>614.45728983508411</v>
      </c>
      <c r="CD71" s="59">
        <f ca="1">AVERAGE(OFFSET($CC$3,0,0,'Données projet'!$E$12+1,1))-AVERAGE(OFFSET($H$3,0,0,'Données projet'!$E$12+1,1))</f>
        <v>119.62076457560073</v>
      </c>
      <c r="CE71" s="59">
        <f t="shared" si="94"/>
        <v>72.011647893875363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12.338729280545502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12.338729280545502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5</v>
      </c>
      <c r="CT71" s="12">
        <f>IF('Données projet'!$A$140&gt;35,CT70+CS71-DB70,IF(A71&lt;'Données projet'!$A$140,$CQ$205^A71,IF(A71='Données projet'!$A$140,'Données projet'!$B$140,CT70+CS71-DB70)))</f>
        <v>162</v>
      </c>
      <c r="CU71" s="17">
        <f>CT71*VLOOKUP('Données projet'!$B$13,Paramètres!$A$1:$I$89,3,0)*VLOOKUP('Données projet'!$B$13,Paramètres!$A$1:$I$89,5,0)</f>
        <v>174.37679999999997</v>
      </c>
      <c r="CV71" s="13">
        <f t="shared" si="95"/>
        <v>44.06882624410639</v>
      </c>
      <c r="CW71" s="20">
        <f t="shared" si="67"/>
        <v>380.45946570848531</v>
      </c>
      <c r="CX71" s="59">
        <f t="shared" si="68"/>
        <v>673.79279904181863</v>
      </c>
      <c r="CY71" s="59">
        <f ca="1">AVERAGE(OFFSET($CX$3,0,0,'Données projet'!$E$13+1,1))-AVERAGE(OFFSET($H$3,0,0,'Données projet'!$E$13+1,1))</f>
        <v>150.9416300233616</v>
      </c>
      <c r="CZ71" s="59">
        <f t="shared" si="96"/>
        <v>92.286636088269972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14.678833109614473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14.678833109614473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10</v>
      </c>
      <c r="DO71" s="12">
        <f>IF('Données projet'!$A$166&gt;35,DO70+DN71-DW70,IF(A71&lt;'Données projet'!$A$166,$DL$205^A71,IF(A71='Données projet'!$A$166,'Données projet'!$B$166,DO70+DN71-DW70)))</f>
        <v>443.99999999999943</v>
      </c>
      <c r="DP71" s="17">
        <f>DO71*VLOOKUP('Données projet'!$B$14,Paramètres!$A$1:$I$89,3,0)*VLOOKUP('Données projet'!$B$14,Paramètres!$A$1:$I$89,5,0)</f>
        <v>265.51199999999972</v>
      </c>
      <c r="DQ71" s="13">
        <f t="shared" si="97"/>
        <v>63.895875238848802</v>
      </c>
      <c r="DR71" s="20">
        <f t="shared" si="70"/>
        <v>573.71871604099454</v>
      </c>
      <c r="DS71" s="59">
        <f t="shared" si="71"/>
        <v>867.05204937432791</v>
      </c>
      <c r="DT71" s="59">
        <f ca="1">AVERAGE(OFFSET($DS$3,0,0,'Données projet'!$E$14+1,1))-AVERAGE(OFFSET($H$3,0,0,'Données projet'!$E$14+1,1))</f>
        <v>249.22792522076639</v>
      </c>
      <c r="DU71" s="59">
        <f t="shared" si="98"/>
        <v>244.53725944480669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42.581827204976904</v>
      </c>
      <c r="EB71" s="21">
        <f>EXP(-LN(2)/25)*EB70+(1-EXP(-LN(2)/25))/(LN(2)/25)*Calculateur!DW71*Calculateur!DY71*VLOOKUP('Données projet'!$B$14,Paramètres!$A$1:$I$89,3,0)*0.475*44/12</f>
        <v>16.821443455322726</v>
      </c>
      <c r="EC71" s="21">
        <f>EXP(-LN(2)/2)*EC70+(1-EXP(-LN(2)/2))/(LN(2)/2)*DW71*DZ71*VLOOKUP('Données projet'!$B$14,Paramètres!$A$1:$I$89,3,0)*0.475*44/12</f>
        <v>0.78313346684912655</v>
      </c>
      <c r="ED71" s="22">
        <f t="shared" si="72"/>
        <v>60.186404127148755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2.2737367544323206E-13</v>
      </c>
      <c r="EK71" s="17">
        <f>EJ71*VLOOKUP('Données projet'!$B$15,Paramètres!$A$1:$I$89,3,0)*VLOOKUP('Données projet'!$B$15,Paramètres!$A$1:$I$89,5,0)</f>
        <v>1.2710188457276673E-13</v>
      </c>
      <c r="EL71" s="13">
        <f t="shared" si="99"/>
        <v>1.856866851063998E-12</v>
      </c>
      <c r="EM71" s="20">
        <f t="shared" si="73"/>
        <v>3.4554122145673649E-12</v>
      </c>
      <c r="EN71" s="59">
        <f t="shared" si="74"/>
        <v>293.33333333333678</v>
      </c>
      <c r="EO71" s="59">
        <f ca="1">AVERAGE(OFFSET($EN$3,0,0,'Données projet'!$E$15+1,1))-AVERAGE(OFFSET($H$3,0,0,'Données projet'!$E$15+1,1))</f>
        <v>313.36787814924116</v>
      </c>
      <c r="EP71" s="59">
        <f t="shared" si="100"/>
        <v>438.72984487610216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207.06177534528032</v>
      </c>
      <c r="EW71" s="21">
        <f>EXP(-LN(2)/25)*EW70+(1-EXP(-LN(2)/25))/(LN(2)/25)*Calculateur!ER71*Calculateur!ET71*VLOOKUP('Données projet'!$B$15,Paramètres!$A$1:$I$89,3,0)*0.475*44/12</f>
        <v>37.921330024647411</v>
      </c>
      <c r="EX71" s="21">
        <f>EXP(-LN(2)/2)*EX70+(1-EXP(-LN(2)/2))/(LN(2)/2)*ER71*EU71*VLOOKUP('Données projet'!$B$15,Paramètres!$A$1:$I$89,3,0)*0.475*44/12</f>
        <v>7.4079193363144377E-2</v>
      </c>
      <c r="EY71" s="22">
        <f t="shared" si="75"/>
        <v>245.05718456329086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5</v>
      </c>
      <c r="N72" s="13">
        <f>IF('Données projet'!$A$36&gt;35,N71+M72-V71,IF(A72&lt;'Données projet'!$A$36,$K$205^A72,IF(A72='Données projet'!$A$36,'Données projet'!$B$36,N71+M72-V71)))</f>
        <v>167</v>
      </c>
      <c r="O72" s="13">
        <f>N72*VLOOKUP('Données projet'!$B$9,Paramètres!$A$1:$I$89,3,0)*VLOOKUP('Données projet'!$B$9,Paramètres!$A$1:$I$89,5,0)</f>
        <v>151.10159999999999</v>
      </c>
      <c r="P72" s="13">
        <f t="shared" si="87"/>
        <v>38.82882146347977</v>
      </c>
      <c r="Q72" s="20">
        <f t="shared" si="54"/>
        <v>330.79548404889391</v>
      </c>
      <c r="R72" s="59">
        <f t="shared" si="55"/>
        <v>624.12881738222723</v>
      </c>
      <c r="S72" s="59">
        <f ca="1">AVERAGE(OFFSET($R$3,0,0,'Données projet'!$E$9+1,1))-AVERAGE(OFFSET($H$3,0,0,'Données projet'!$E$9+1,1))</f>
        <v>173.91998182168385</v>
      </c>
      <c r="T72" s="59">
        <f t="shared" si="88"/>
        <v>72.011647893875363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7.3590639824202855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7.3590639824202855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5</v>
      </c>
      <c r="AI72" s="13">
        <f>IF('Données projet'!$A$62&gt;35,AI71+AH72-AQ71,IF(A72&lt;'Données projet'!$A$62,$AF$205^A72,IF(A72='Données projet'!$A$62,'Données projet'!$B$62,AI71+AH72-AQ71)))</f>
        <v>167</v>
      </c>
      <c r="AJ72" s="13">
        <f>AI72*VLOOKUP('Données projet'!$B$10,Paramètres!$A$1:$I$89,3,0)*VLOOKUP('Données projet'!$B$10,Paramètres!$A$1:$I$89,5,0)</f>
        <v>179.75879999999998</v>
      </c>
      <c r="AK72" s="13">
        <f t="shared" si="89"/>
        <v>45.268519423286527</v>
      </c>
      <c r="AL72" s="20">
        <f t="shared" si="58"/>
        <v>391.92258132889066</v>
      </c>
      <c r="AM72" s="59">
        <f t="shared" si="59"/>
        <v>685.25591466222397</v>
      </c>
      <c r="AN72" s="59">
        <f ca="1">AVERAGE(OFFSET($AM$3,0,0,'Données projet'!$E$10+1,1))-AVERAGE(OFFSET($H$3,0,0,'Données projet'!$E$10+1,1))</f>
        <v>150.9416300233616</v>
      </c>
      <c r="AO72" s="59">
        <f t="shared" si="90"/>
        <v>92.286636088269972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14.390990145539075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14.390990145539075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5</v>
      </c>
      <c r="BD72" s="12">
        <f>IF('Données projet'!$A$88&gt;35,BD71+BC72-BL71,IF(A72&lt;'Données projet'!$A$88,$BA$205^A72,IF(A72='Données projet'!$A$88,'Données projet'!$B$88,BD71+BC72-BL71)))</f>
        <v>167</v>
      </c>
      <c r="BE72" s="13">
        <f>BD72*VLOOKUP('Données projet'!$B$11,Paramètres!$A$1:$I$89,3,0)*VLOOKUP('Données projet'!$B$11,Paramètres!$A$1:$I$89,5,0)</f>
        <v>161.5224</v>
      </c>
      <c r="BF72" s="13">
        <f t="shared" si="91"/>
        <v>41.185707490721896</v>
      </c>
      <c r="BG72" s="20">
        <f t="shared" si="61"/>
        <v>353.04995387967392</v>
      </c>
      <c r="BH72" s="59">
        <f t="shared" si="62"/>
        <v>646.38328721300718</v>
      </c>
      <c r="BI72" s="59">
        <f ca="1">AVERAGE(OFFSET($BH$3,0,0,'Données projet'!$E$11+1,1))-AVERAGE(OFFSET($H$3,0,0,'Données projet'!$E$11+1,1))</f>
        <v>131.02416800340484</v>
      </c>
      <c r="BJ72" s="59">
        <f t="shared" si="92"/>
        <v>79.394119001888555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12.931034623527871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12.931034623527871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5</v>
      </c>
      <c r="BY72" s="12">
        <f>IF('Données projet'!$A$114&gt;35,BY71+BX72-CG71,IF(A72&lt;'Données projet'!$A$114,$BV$205^A72,IF(A72='Données projet'!$A$114,'Données projet'!$B$114,BY71+BX72-CG71)))</f>
        <v>167</v>
      </c>
      <c r="BZ72" s="13">
        <f>BY72*VLOOKUP('Données projet'!$B$12,Paramètres!$A$1:$I$89,3,0)*VLOOKUP('Données projet'!$B$12,Paramètres!$A$1:$I$89,5,0)</f>
        <v>151.10159999999999</v>
      </c>
      <c r="CA72" s="13">
        <f t="shared" si="93"/>
        <v>38.82882146347977</v>
      </c>
      <c r="CB72" s="20">
        <f t="shared" si="64"/>
        <v>330.79548404889391</v>
      </c>
      <c r="CC72" s="59">
        <f t="shared" si="65"/>
        <v>624.12881738222723</v>
      </c>
      <c r="CD72" s="59">
        <f ca="1">AVERAGE(OFFSET($CC$3,0,0,'Données projet'!$E$12+1,1))-AVERAGE(OFFSET($H$3,0,0,'Données projet'!$E$12+1,1))</f>
        <v>119.62076457560073</v>
      </c>
      <c r="CE72" s="59">
        <f t="shared" si="94"/>
        <v>72.011647893875363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12.096774325235748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12.096774325235748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5</v>
      </c>
      <c r="CT72" s="12">
        <f>IF('Données projet'!$A$140&gt;35,CT71+CS72-DB71,IF(A72&lt;'Données projet'!$A$140,$CQ$205^A72,IF(A72='Données projet'!$A$140,'Données projet'!$B$140,CT71+CS72-DB71)))</f>
        <v>167</v>
      </c>
      <c r="CU72" s="17">
        <f>CT72*VLOOKUP('Données projet'!$B$13,Paramètres!$A$1:$I$89,3,0)*VLOOKUP('Données projet'!$B$13,Paramètres!$A$1:$I$89,5,0)</f>
        <v>179.75879999999998</v>
      </c>
      <c r="CV72" s="13">
        <f t="shared" si="95"/>
        <v>45.268519423286527</v>
      </c>
      <c r="CW72" s="20">
        <f t="shared" si="67"/>
        <v>391.92258132889066</v>
      </c>
      <c r="CX72" s="59">
        <f t="shared" si="68"/>
        <v>685.25591466222397</v>
      </c>
      <c r="CY72" s="59">
        <f ca="1">AVERAGE(OFFSET($CX$3,0,0,'Données projet'!$E$13+1,1))-AVERAGE(OFFSET($H$3,0,0,'Données projet'!$E$13+1,1))</f>
        <v>150.9416300233616</v>
      </c>
      <c r="CZ72" s="59">
        <f t="shared" si="96"/>
        <v>92.286636088269972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14.390990145539075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14.390990145539075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10</v>
      </c>
      <c r="DO72" s="12">
        <f>IF('Données projet'!$A$166&gt;35,DO71+DN72-DW71,IF(A72&lt;'Données projet'!$A$166,$DL$205^A72,IF(A72='Données projet'!$A$166,'Données projet'!$B$166,DO71+DN72-DW71)))</f>
        <v>453.99999999999943</v>
      </c>
      <c r="DP72" s="17">
        <f>DO72*VLOOKUP('Données projet'!$B$14,Paramètres!$A$1:$I$89,3,0)*VLOOKUP('Données projet'!$B$14,Paramètres!$A$1:$I$89,5,0)</f>
        <v>271.49199999999968</v>
      </c>
      <c r="DQ72" s="13">
        <f t="shared" si="97"/>
        <v>65.165807717935252</v>
      </c>
      <c r="DR72" s="20">
        <f t="shared" si="70"/>
        <v>586.34568177540336</v>
      </c>
      <c r="DS72" s="59">
        <f t="shared" si="71"/>
        <v>879.67901510873662</v>
      </c>
      <c r="DT72" s="59">
        <f ca="1">AVERAGE(OFFSET($DS$3,0,0,'Données projet'!$E$14+1,1))-AVERAGE(OFFSET($H$3,0,0,'Données projet'!$E$14+1,1))</f>
        <v>249.22792522076639</v>
      </c>
      <c r="DU72" s="59">
        <f t="shared" si="98"/>
        <v>244.53725944480669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41.746823545837344</v>
      </c>
      <c r="EB72" s="21">
        <f>EXP(-LN(2)/25)*EB71+(1-EXP(-LN(2)/25))/(LN(2)/25)*Calculateur!DW72*Calculateur!DY72*VLOOKUP('Données projet'!$B$14,Paramètres!$A$1:$I$89,3,0)*0.475*44/12</f>
        <v>16.361460199435662</v>
      </c>
      <c r="EC72" s="21">
        <f>EXP(-LN(2)/2)*EC71+(1-EXP(-LN(2)/2))/(LN(2)/2)*DW72*DZ72*VLOOKUP('Données projet'!$B$14,Paramètres!$A$1:$I$89,3,0)*0.475*44/12</f>
        <v>0.55375898498314768</v>
      </c>
      <c r="ED72" s="22">
        <f t="shared" si="72"/>
        <v>58.662042730256154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2.2737367544323206E-13</v>
      </c>
      <c r="EK72" s="17">
        <f>EJ72*VLOOKUP('Données projet'!$B$15,Paramètres!$A$1:$I$89,3,0)*VLOOKUP('Données projet'!$B$15,Paramètres!$A$1:$I$89,5,0)</f>
        <v>1.2710188457276673E-13</v>
      </c>
      <c r="EL72" s="13">
        <f t="shared" si="99"/>
        <v>1.856866851063998E-12</v>
      </c>
      <c r="EM72" s="20">
        <f t="shared" si="73"/>
        <v>3.4554122145673649E-12</v>
      </c>
      <c r="EN72" s="59">
        <f t="shared" si="74"/>
        <v>293.33333333333678</v>
      </c>
      <c r="EO72" s="59">
        <f ca="1">AVERAGE(OFFSET($EN$3,0,0,'Données projet'!$E$15+1,1))-AVERAGE(OFFSET($H$3,0,0,'Données projet'!$E$15+1,1))</f>
        <v>313.36787814924116</v>
      </c>
      <c r="EP72" s="59">
        <f t="shared" si="100"/>
        <v>438.72984487610216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203.00142022597171</v>
      </c>
      <c r="EW72" s="21">
        <f>EXP(-LN(2)/25)*EW71+(1-EXP(-LN(2)/25))/(LN(2)/25)*Calculateur!ER72*Calculateur!ET72*VLOOKUP('Données projet'!$B$15,Paramètres!$A$1:$I$89,3,0)*0.475*44/12</f>
        <v>36.88436926092735</v>
      </c>
      <c r="EX72" s="21">
        <f>EXP(-LN(2)/2)*EX71+(1-EXP(-LN(2)/2))/(LN(2)/2)*ER72*EU72*VLOOKUP('Données projet'!$B$15,Paramètres!$A$1:$I$89,3,0)*0.475*44/12</f>
        <v>5.2381899971908875E-2</v>
      </c>
      <c r="EY72" s="22">
        <f t="shared" si="75"/>
        <v>239.93817138687098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172</v>
      </c>
      <c r="L73" s="12">
        <f>VLOOKUP(A73,'Données projet'!$A$35:$I$55,9,0)</f>
        <v>5</v>
      </c>
      <c r="M73" s="12">
        <f t="array" ref="M73">INDEX(L:L,MIN(IF(ISNUMBER(L73:L269),ROW(L73:L269),"")))</f>
        <v>5</v>
      </c>
      <c r="N73" s="13">
        <f>IF('Données projet'!$A$36&gt;35,N72+M73-V72,IF(A73&lt;'Données projet'!$A$36,$K$205^A73,IF(A73='Données projet'!$A$36,'Données projet'!$B$36,N72+M73-V72)))</f>
        <v>172</v>
      </c>
      <c r="O73" s="13">
        <f>N73*VLOOKUP('Données projet'!$B$9,Paramètres!$A$1:$I$89,3,0)*VLOOKUP('Données projet'!$B$9,Paramètres!$A$1:$I$89,5,0)</f>
        <v>155.62559999999999</v>
      </c>
      <c r="P73" s="13">
        <f t="shared" si="87"/>
        <v>39.854271109683118</v>
      </c>
      <c r="Q73" s="20">
        <f t="shared" si="54"/>
        <v>340.46077551603139</v>
      </c>
      <c r="R73" s="59">
        <f t="shared" si="55"/>
        <v>633.79410884936465</v>
      </c>
      <c r="S73" s="59">
        <f ca="1">AVERAGE(OFFSET($R$3,0,0,'Données projet'!$E$9+1,1))-AVERAGE(OFFSET($H$3,0,0,'Données projet'!$E$9+1,1))</f>
        <v>173.91998182168385</v>
      </c>
      <c r="T73" s="59">
        <f t="shared" si="88"/>
        <v>72.011647893875363</v>
      </c>
      <c r="U73" s="15">
        <f>IF(ISNA(VLOOKUP(A73,'Données projet'!$A$35:$I$55,3,0)),0,VLOOKUP(A73,'Données projet'!$A$35:$I$55,3,0))</f>
        <v>10</v>
      </c>
      <c r="V73" s="15">
        <f>IF(ISNA(VLOOKUP(A73,'Données projet'!$A$35:$I$55,4,0)),0,VLOOKUP(A73,'Données projet'!$A$35:$I$55,4,0))</f>
        <v>14</v>
      </c>
      <c r="W73" s="16">
        <f>IF(ISNA(VLOOKUP(A73,'Données projet'!$A$35:$I$55,5,0)),0%,VLOOKUP(A73,'Données projet'!$A$35:$I$55,5,0)*VLOOKUP('Données projet'!$B$9,Paramètres!$A$1:$I$89,7,0))</f>
        <v>0.17200000000000001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9.6233101016694444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9.6233101016694444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172</v>
      </c>
      <c r="AG73" s="12">
        <f>VLOOKUP(A73,'Données projet'!$A$61:$I$81,9,0)</f>
        <v>5</v>
      </c>
      <c r="AH73" s="12">
        <f t="array" ref="AH73">INDEX(AG:AG,MIN(IF(ISNUMBER(AG73:AG269),ROW(AG73:AG269),"")))</f>
        <v>5</v>
      </c>
      <c r="AI73" s="13">
        <f>IF('Données projet'!$A$62&gt;35,AI72+AH73-AQ72,IF(A73&lt;'Données projet'!$A$62,$AF$205^A73,IF(A73='Données projet'!$A$62,'Données projet'!$B$62,AI72+AH73-AQ72)))</f>
        <v>172</v>
      </c>
      <c r="AJ73" s="13">
        <f>AI73*VLOOKUP('Données projet'!$B$10,Paramètres!$A$1:$I$89,3,0)*VLOOKUP('Données projet'!$B$10,Paramètres!$A$1:$I$89,5,0)</f>
        <v>185.14079999999998</v>
      </c>
      <c r="AK73" s="13">
        <f t="shared" si="89"/>
        <v>46.464038253813506</v>
      </c>
      <c r="AL73" s="20">
        <f t="shared" si="58"/>
        <v>403.3784266253918</v>
      </c>
      <c r="AM73" s="59">
        <f t="shared" si="59"/>
        <v>696.71175995872511</v>
      </c>
      <c r="AN73" s="59">
        <f ca="1">AVERAGE(OFFSET($AM$3,0,0,'Données projet'!$E$10+1,1))-AVERAGE(OFFSET($H$3,0,0,'Données projet'!$E$10+1,1))</f>
        <v>150.9416300233616</v>
      </c>
      <c r="AO73" s="59">
        <f t="shared" si="90"/>
        <v>92.286636088269972</v>
      </c>
      <c r="AP73" s="15">
        <f>IF(ISNA(VLOOKUP(A73,'Données projet'!$A$61:$I$81,3,0)),0,VLOOKUP(A73,'Données projet'!$A$61:$I$81,3,0))</f>
        <v>10</v>
      </c>
      <c r="AQ73" s="15">
        <f>IF(ISNA(VLOOKUP(A73,'Données projet'!$A$61:$I$81,4,0)),0,VLOOKUP(A73,'Données projet'!$A$61:$I$81,4,0))</f>
        <v>14</v>
      </c>
      <c r="AR73" s="16">
        <f>IF(ISNA(VLOOKUP(A73,'Données projet'!$A$61:$I$81,5,0)),0%,VLOOKUP(A73,'Données projet'!$A$61:$I$81,5,0)*VLOOKUP('Données projet'!$B$10,Paramètres!$A$1:$I$89,7,0))</f>
        <v>0.30099999999999999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19.123149532276656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19.123149532276656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172</v>
      </c>
      <c r="BB73" s="12">
        <f>VLOOKUP(A73,'Données projet'!$A$87:$I$107,9,0)</f>
        <v>5</v>
      </c>
      <c r="BC73" s="12">
        <f t="array" ref="BC73">INDEX(BB:BB,MIN(IF(ISNUMBER(BB73:BB269),ROW(BB73:BB269),"")))</f>
        <v>5</v>
      </c>
      <c r="BD73" s="12">
        <f>IF('Données projet'!$A$88&gt;35,BD72+BC73-BL72,IF(A73&lt;'Données projet'!$A$88,$BA$205^A73,IF(A73='Données projet'!$A$88,'Données projet'!$B$88,BD72+BC73-BL72)))</f>
        <v>172</v>
      </c>
      <c r="BE73" s="13">
        <f>BD73*VLOOKUP('Données projet'!$B$11,Paramètres!$A$1:$I$89,3,0)*VLOOKUP('Données projet'!$B$11,Paramètres!$A$1:$I$89,5,0)</f>
        <v>166.35840000000002</v>
      </c>
      <c r="BF73" s="13">
        <f t="shared" si="91"/>
        <v>42.27340131152765</v>
      </c>
      <c r="BG73" s="20">
        <f t="shared" si="61"/>
        <v>363.3670539509107</v>
      </c>
      <c r="BH73" s="59">
        <f t="shared" si="62"/>
        <v>656.70038728424402</v>
      </c>
      <c r="BI73" s="59">
        <f ca="1">AVERAGE(OFFSET($BH$3,0,0,'Données projet'!$E$11+1,1))-AVERAGE(OFFSET($H$3,0,0,'Données projet'!$E$11+1,1))</f>
        <v>131.02416800340484</v>
      </c>
      <c r="BJ73" s="59">
        <f t="shared" si="92"/>
        <v>79.394119001888555</v>
      </c>
      <c r="BK73" s="15">
        <f>IF(ISNA(VLOOKUP(A73,'Données projet'!$A$87:$I$107,3,0)),0,VLOOKUP(A73,'Données projet'!$A$87:$I$107,3,0))</f>
        <v>10</v>
      </c>
      <c r="BL73" s="15">
        <f>IF(ISNA(VLOOKUP(A73,'Données projet'!$A$87:$I$107,4,0)),0,VLOOKUP(A73,'Données projet'!$A$87:$I$107,4,0))</f>
        <v>14</v>
      </c>
      <c r="BM73" s="16">
        <f>IF(ISNA(VLOOKUP(A73,'Données projet'!$A$87:$I$107,5,0)),0%,VLOOKUP(A73,'Données projet'!$A$87:$I$107,5,0)*VLOOKUP('Données projet'!$B$11,Paramètres!$A$1:$I$89,7,0))</f>
        <v>0.30099999999999999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17.18311986958193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17.18311986958193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172</v>
      </c>
      <c r="BW73" s="12">
        <f>VLOOKUP(A73,'Données projet'!$A$113:$I$133,9,0)</f>
        <v>5</v>
      </c>
      <c r="BX73" s="12">
        <f t="array" ref="BX73">INDEX(BW:BW,MIN(IF(ISNUMBER(BW73:BW269),ROW(BW73:BW269),"")))</f>
        <v>5</v>
      </c>
      <c r="BY73" s="12">
        <f>IF('Données projet'!$A$114&gt;35,BY72+BX73-CG72,IF(A73&lt;'Données projet'!$A$114,$BV$205^A73,IF(A73='Données projet'!$A$114,'Données projet'!$B$114,BY72+BX73-CG72)))</f>
        <v>172</v>
      </c>
      <c r="BZ73" s="13">
        <f>BY73*VLOOKUP('Données projet'!$B$12,Paramètres!$A$1:$I$89,3,0)*VLOOKUP('Données projet'!$B$12,Paramètres!$A$1:$I$89,5,0)</f>
        <v>155.62559999999999</v>
      </c>
      <c r="CA73" s="13">
        <f t="shared" si="93"/>
        <v>39.854271109683118</v>
      </c>
      <c r="CB73" s="20">
        <f t="shared" si="64"/>
        <v>340.46077551603139</v>
      </c>
      <c r="CC73" s="59">
        <f t="shared" si="65"/>
        <v>633.79410884936465</v>
      </c>
      <c r="CD73" s="59">
        <f ca="1">AVERAGE(OFFSET($CC$3,0,0,'Données projet'!$E$12+1,1))-AVERAGE(OFFSET($H$3,0,0,'Données projet'!$E$12+1,1))</f>
        <v>119.62076457560073</v>
      </c>
      <c r="CE73" s="59">
        <f t="shared" si="94"/>
        <v>72.011647893875363</v>
      </c>
      <c r="CF73" s="15">
        <f>IF(ISNA(VLOOKUP(A73,'Données projet'!$A$113:$I$133,3,0)),0,VLOOKUP(A73,'Données projet'!$A$113:$I$133,3,0))</f>
        <v>10</v>
      </c>
      <c r="CG73" s="15">
        <f>IF(ISNA(VLOOKUP(A73,'Données projet'!$A$113:$I$133,4,0)),0,VLOOKUP(A73,'Données projet'!$A$113:$I$133,4,0))</f>
        <v>14</v>
      </c>
      <c r="CH73" s="16">
        <f>IF(ISNA(VLOOKUP(A73,'Données projet'!$A$113:$I$133,5,0)),0%,VLOOKUP(A73,'Données projet'!$A$113:$I$133,5,0)*VLOOKUP('Données projet'!$B$12,Paramètres!$A$1:$I$89,7,0))</f>
        <v>0.30099999999999999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16.074531490899219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16.074531490899219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172</v>
      </c>
      <c r="CR73" s="12">
        <f>VLOOKUP(A73,'Données projet'!$A$139:$I$159,9,0)</f>
        <v>5</v>
      </c>
      <c r="CS73" s="12">
        <f t="array" ref="CS73">INDEX(CR:CR,MIN(IF(ISNUMBER(CR73:CR269),ROW(CR73:CR269),"")))</f>
        <v>5</v>
      </c>
      <c r="CT73" s="12">
        <f>IF('Données projet'!$A$140&gt;35,CT72+CS73-DB72,IF(A73&lt;'Données projet'!$A$140,$CQ$205^A73,IF(A73='Données projet'!$A$140,'Données projet'!$B$140,CT72+CS73-DB72)))</f>
        <v>172</v>
      </c>
      <c r="CU73" s="17">
        <f>CT73*VLOOKUP('Données projet'!$B$13,Paramètres!$A$1:$I$89,3,0)*VLOOKUP('Données projet'!$B$13,Paramètres!$A$1:$I$89,5,0)</f>
        <v>185.14079999999998</v>
      </c>
      <c r="CV73" s="13">
        <f t="shared" si="95"/>
        <v>46.464038253813506</v>
      </c>
      <c r="CW73" s="20">
        <f t="shared" si="67"/>
        <v>403.3784266253918</v>
      </c>
      <c r="CX73" s="59">
        <f t="shared" si="68"/>
        <v>696.71175995872511</v>
      </c>
      <c r="CY73" s="59">
        <f ca="1">AVERAGE(OFFSET($CX$3,0,0,'Données projet'!$E$13+1,1))-AVERAGE(OFFSET($H$3,0,0,'Données projet'!$E$13+1,1))</f>
        <v>150.9416300233616</v>
      </c>
      <c r="CZ73" s="59">
        <f t="shared" si="96"/>
        <v>92.286636088269972</v>
      </c>
      <c r="DA73" s="15">
        <f>IF(ISNA(VLOOKUP(A73,'Données projet'!$A$139:$I$159,3,0)),0,VLOOKUP(A73,'Données projet'!$A$139:$I$159,3,0))</f>
        <v>10</v>
      </c>
      <c r="DB73" s="15">
        <f>IF(ISNA(VLOOKUP(A73,'Données projet'!$A$139:$I$159,4,0)),0,VLOOKUP(A73,'Données projet'!$A$139:$I$159,4,0))</f>
        <v>14</v>
      </c>
      <c r="DC73" s="16">
        <f>IF(ISNA(VLOOKUP(A73,'Données projet'!$A$139:$I$159,5,0)),0%,VLOOKUP(A73,'Données projet'!$A$139:$I$159,5,0)*VLOOKUP('Données projet'!$B$13,Paramètres!$A$1:$I$89,7,0))</f>
        <v>0.30099999999999999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19.123149532276656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19.123149532276656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464</v>
      </c>
      <c r="DM73" s="12">
        <f>VLOOKUP(A73,'Données projet'!$A$165:$I$185,9,0)</f>
        <v>10</v>
      </c>
      <c r="DN73" s="12">
        <f t="array" ref="DN73">INDEX(DM:DM,MIN(IF(ISNUMBER(DM73:DM269),ROW(DM73:DM269),"")))</f>
        <v>10</v>
      </c>
      <c r="DO73" s="12">
        <f>IF('Données projet'!$A$166&gt;35,DO72+DN73-DW72,IF(A73&lt;'Données projet'!$A$166,$DL$205^A73,IF(A73='Données projet'!$A$166,'Données projet'!$B$166,DO72+DN73-DW72)))</f>
        <v>463.99999999999943</v>
      </c>
      <c r="DP73" s="17">
        <f>DO73*VLOOKUP('Données projet'!$B$14,Paramètres!$A$1:$I$89,3,0)*VLOOKUP('Données projet'!$B$14,Paramètres!$A$1:$I$89,5,0)</f>
        <v>277.4719999999997</v>
      </c>
      <c r="DQ73" s="13">
        <f t="shared" si="97"/>
        <v>66.432488139207578</v>
      </c>
      <c r="DR73" s="20">
        <f t="shared" si="70"/>
        <v>598.96698350911936</v>
      </c>
      <c r="DS73" s="59">
        <f t="shared" si="71"/>
        <v>892.30031684245273</v>
      </c>
      <c r="DT73" s="59">
        <f ca="1">AVERAGE(OFFSET($DS$3,0,0,'Données projet'!$E$14+1,1))-AVERAGE(OFFSET($H$3,0,0,'Données projet'!$E$14+1,1))</f>
        <v>249.22792522076639</v>
      </c>
      <c r="DU73" s="59">
        <f t="shared" si="98"/>
        <v>244.53725944480669</v>
      </c>
      <c r="DV73" s="15">
        <f>IF(ISNA(VLOOKUP(A73,'Données projet'!$A$165:$I$185,3,0)),0,VLOOKUP(A73,'Données projet'!$A$165:$I$185,3,0))</f>
        <v>12</v>
      </c>
      <c r="DW73" s="15">
        <f>IF(ISNA(VLOOKUP(A73,'Données projet'!$A$165:$I$185,4,0)),0,VLOOKUP(A73,'Données projet'!$A$165:$I$185,4,0))</f>
        <v>24</v>
      </c>
      <c r="DX73" s="16">
        <f>IF(ISNA(VLOOKUP(A73,'Données projet'!$A$165:$I$185,5,0)),0%,VLOOKUP(A73,'Données projet'!$A$165:$I$185,5,0)*VLOOKUP('Données projet'!$B$14,Paramètres!$A$1:$I$89,7,0))</f>
        <v>0.36000000000000004</v>
      </c>
      <c r="DY73" s="16">
        <f>IF(ISNA(VLOOKUP(A73,'Données projet'!$A$165:$I$185,6,0)),0%,VLOOKUP(A73,'Données projet'!$A$165:$I$185,6,0)*VLOOKUP('Données projet'!$B$14,Paramètres!$A$1:$I$89,7,0))</f>
        <v>4.9500000000000002E-2</v>
      </c>
      <c r="DZ73" s="16">
        <f>IF(ISNA(VLOOKUP(A73,'Données projet'!$A$165:$I$185,7,0)),0%,VLOOKUP(A73,'Données projet'!$A$165:$I$185,7,0))</f>
        <v>0.09</v>
      </c>
      <c r="EA73" s="21">
        <f>EXP(-LN(2)/35)*EA72+(1-EXP(-LN(2)/35))/(LN(2)/35)*DW73*DX73*VLOOKUP('Données projet'!$B$14,Paramètres!$A$1:$I$89,3,0)*0.475*44/12</f>
        <v>47.782180902360153</v>
      </c>
      <c r="EB73" s="21">
        <f>EXP(-LN(2)/25)*EB72+(1-EXP(-LN(2)/25))/(LN(2)/25)*Calculateur!DW73*Calculateur!DY73*VLOOKUP('Données projet'!$B$14,Paramètres!$A$1:$I$89,3,0)*0.475*44/12</f>
        <v>16.852767757226591</v>
      </c>
      <c r="EC73" s="21">
        <f>EXP(-LN(2)/2)*EC72+(1-EXP(-LN(2)/2))/(LN(2)/2)*DW73*DZ73*VLOOKUP('Données projet'!$B$14,Paramètres!$A$1:$I$89,3,0)*0.475*44/12</f>
        <v>1.8540485474935484</v>
      </c>
      <c r="ED73" s="22">
        <f t="shared" si="72"/>
        <v>66.488997207080288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2.2737367544323206E-13</v>
      </c>
      <c r="EK73" s="17">
        <f>EJ73*VLOOKUP('Données projet'!$B$15,Paramètres!$A$1:$I$89,3,0)*VLOOKUP('Données projet'!$B$15,Paramètres!$A$1:$I$89,5,0)</f>
        <v>1.2710188457276673E-13</v>
      </c>
      <c r="EL73" s="13">
        <f t="shared" si="99"/>
        <v>1.856866851063998E-12</v>
      </c>
      <c r="EM73" s="20">
        <f t="shared" si="73"/>
        <v>3.4554122145673649E-12</v>
      </c>
      <c r="EN73" s="59">
        <f t="shared" si="74"/>
        <v>293.33333333333678</v>
      </c>
      <c r="EO73" s="59">
        <f ca="1">AVERAGE(OFFSET($EN$3,0,0,'Données projet'!$E$15+1,1))-AVERAGE(OFFSET($H$3,0,0,'Données projet'!$E$15+1,1))</f>
        <v>313.36787814924116</v>
      </c>
      <c r="EP73" s="59">
        <f t="shared" si="100"/>
        <v>438.72984487610216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199.02068619398068</v>
      </c>
      <c r="EW73" s="21">
        <f>EXP(-LN(2)/25)*EW72+(1-EXP(-LN(2)/25))/(LN(2)/25)*Calculateur!ER73*Calculateur!ET73*VLOOKUP('Données projet'!$B$15,Paramètres!$A$1:$I$89,3,0)*0.475*44/12</f>
        <v>35.875764243822616</v>
      </c>
      <c r="EX73" s="21">
        <f>EXP(-LN(2)/2)*EX72+(1-EXP(-LN(2)/2))/(LN(2)/2)*ER73*EU73*VLOOKUP('Données projet'!$B$15,Paramètres!$A$1:$I$89,3,0)*0.475*44/12</f>
        <v>3.7039596681572189E-2</v>
      </c>
      <c r="EY73" s="22">
        <f t="shared" si="75"/>
        <v>234.93349003448489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5</v>
      </c>
      <c r="N74" s="13">
        <f>IF('Données projet'!$A$36&gt;35,N73+M74-V73,IF(A74&lt;'Données projet'!$A$36,$K$205^A74,IF(A74='Données projet'!$A$36,'Données projet'!$B$36,N73+M74-V73)))</f>
        <v>163</v>
      </c>
      <c r="O74" s="13">
        <f>N74*VLOOKUP('Données projet'!$B$9,Paramètres!$A$1:$I$89,3,0)*VLOOKUP('Données projet'!$B$9,Paramètres!$A$1:$I$89,5,0)</f>
        <v>147.48239999999998</v>
      </c>
      <c r="P74" s="13">
        <f t="shared" si="87"/>
        <v>38.005889588171215</v>
      </c>
      <c r="Q74" s="20">
        <f t="shared" si="54"/>
        <v>323.0587710327315</v>
      </c>
      <c r="R74" s="59">
        <f t="shared" si="55"/>
        <v>616.39210436606481</v>
      </c>
      <c r="S74" s="59">
        <f ca="1">AVERAGE(OFFSET($R$3,0,0,'Données projet'!$E$9+1,1))-AVERAGE(OFFSET($H$3,0,0,'Données projet'!$E$9+1,1))</f>
        <v>173.91998182168385</v>
      </c>
      <c r="T74" s="59">
        <f t="shared" si="88"/>
        <v>72.011647893875363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9.4346028602152892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9.4346028602152892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5</v>
      </c>
      <c r="AI74" s="13">
        <f>IF('Données projet'!$A$62&gt;35,AI73+AH74-AQ73,IF(A74&lt;'Données projet'!$A$62,$AF$205^A74,IF(A74='Données projet'!$A$62,'Données projet'!$B$62,AI73+AH74-AQ73)))</f>
        <v>163</v>
      </c>
      <c r="AJ74" s="13">
        <f>AI74*VLOOKUP('Données projet'!$B$10,Paramètres!$A$1:$I$89,3,0)*VLOOKUP('Données projet'!$B$10,Paramètres!$A$1:$I$89,5,0)</f>
        <v>175.45319999999998</v>
      </c>
      <c r="AK74" s="13">
        <f t="shared" si="89"/>
        <v>44.309105612169866</v>
      </c>
      <c r="AL74" s="20">
        <f t="shared" si="58"/>
        <v>382.75268227452915</v>
      </c>
      <c r="AM74" s="59">
        <f t="shared" si="59"/>
        <v>676.08601560786246</v>
      </c>
      <c r="AN74" s="59">
        <f ca="1">AVERAGE(OFFSET($AM$3,0,0,'Données projet'!$E$10+1,1))-AVERAGE(OFFSET($H$3,0,0,'Données projet'!$E$10+1,1))</f>
        <v>150.9416300233616</v>
      </c>
      <c r="AO74" s="59">
        <f t="shared" si="90"/>
        <v>92.286636088269972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18.748156233918206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18.748156233918206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5</v>
      </c>
      <c r="BD74" s="12">
        <f>IF('Données projet'!$A$88&gt;35,BD73+BC74-BL73,IF(A74&lt;'Données projet'!$A$88,$BA$205^A74,IF(A74='Données projet'!$A$88,'Données projet'!$B$88,BD73+BC74-BL73)))</f>
        <v>163</v>
      </c>
      <c r="BE74" s="13">
        <f>BD74*VLOOKUP('Données projet'!$B$11,Paramètres!$A$1:$I$89,3,0)*VLOOKUP('Données projet'!$B$11,Paramètres!$A$1:$I$89,5,0)</f>
        <v>157.65360000000001</v>
      </c>
      <c r="BF74" s="13">
        <f t="shared" si="91"/>
        <v>40.31282414727238</v>
      </c>
      <c r="BG74" s="20">
        <f t="shared" si="61"/>
        <v>344.79152205649939</v>
      </c>
      <c r="BH74" s="59">
        <f t="shared" si="62"/>
        <v>638.12485538983265</v>
      </c>
      <c r="BI74" s="59">
        <f ca="1">AVERAGE(OFFSET($BH$3,0,0,'Données projet'!$E$11+1,1))-AVERAGE(OFFSET($H$3,0,0,'Données projet'!$E$11+1,1))</f>
        <v>131.02416800340484</v>
      </c>
      <c r="BJ74" s="59">
        <f t="shared" si="92"/>
        <v>79.394119001888555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16.846169369607669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16.846169369607669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5</v>
      </c>
      <c r="BY74" s="12">
        <f>IF('Données projet'!$A$114&gt;35,BY73+BX74-CG73,IF(A74&lt;'Données projet'!$A$114,$BV$205^A74,IF(A74='Données projet'!$A$114,'Données projet'!$B$114,BY73+BX74-CG73)))</f>
        <v>163</v>
      </c>
      <c r="BZ74" s="13">
        <f>BY74*VLOOKUP('Données projet'!$B$12,Paramètres!$A$1:$I$89,3,0)*VLOOKUP('Données projet'!$B$12,Paramètres!$A$1:$I$89,5,0)</f>
        <v>147.48239999999998</v>
      </c>
      <c r="CA74" s="13">
        <f t="shared" si="93"/>
        <v>38.005889588171215</v>
      </c>
      <c r="CB74" s="20">
        <f t="shared" si="64"/>
        <v>323.0587710327315</v>
      </c>
      <c r="CC74" s="59">
        <f t="shared" si="65"/>
        <v>616.39210436606481</v>
      </c>
      <c r="CD74" s="59">
        <f ca="1">AVERAGE(OFFSET($CC$3,0,0,'Données projet'!$E$12+1,1))-AVERAGE(OFFSET($H$3,0,0,'Données projet'!$E$12+1,1))</f>
        <v>119.62076457560073</v>
      </c>
      <c r="CE74" s="59">
        <f t="shared" si="94"/>
        <v>72.011647893875363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15.759319732858781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15.759319732858781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5</v>
      </c>
      <c r="CT74" s="12">
        <f>IF('Données projet'!$A$140&gt;35,CT73+CS74-DB73,IF(A74&lt;'Données projet'!$A$140,$CQ$205^A74,IF(A74='Données projet'!$A$140,'Données projet'!$B$140,CT73+CS74-DB73)))</f>
        <v>163</v>
      </c>
      <c r="CU74" s="17">
        <f>CT74*VLOOKUP('Données projet'!$B$13,Paramètres!$A$1:$I$89,3,0)*VLOOKUP('Données projet'!$B$13,Paramètres!$A$1:$I$89,5,0)</f>
        <v>175.45319999999998</v>
      </c>
      <c r="CV74" s="13">
        <f t="shared" si="95"/>
        <v>44.309105612169866</v>
      </c>
      <c r="CW74" s="20">
        <f t="shared" si="67"/>
        <v>382.75268227452915</v>
      </c>
      <c r="CX74" s="59">
        <f t="shared" si="68"/>
        <v>676.08601560786246</v>
      </c>
      <c r="CY74" s="59">
        <f ca="1">AVERAGE(OFFSET($CX$3,0,0,'Données projet'!$E$13+1,1))-AVERAGE(OFFSET($H$3,0,0,'Données projet'!$E$13+1,1))</f>
        <v>150.9416300233616</v>
      </c>
      <c r="CZ74" s="59">
        <f t="shared" si="96"/>
        <v>92.286636088269972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18.748156233918206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18.748156233918206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439.99999999999943</v>
      </c>
      <c r="DP74" s="17">
        <f>DO74*VLOOKUP('Données projet'!$B$14,Paramètres!$A$1:$I$89,3,0)*VLOOKUP('Données projet'!$B$14,Paramètres!$A$1:$I$89,5,0)</f>
        <v>263.11999999999966</v>
      </c>
      <c r="DQ74" s="13">
        <f t="shared" si="97"/>
        <v>63.386973458751953</v>
      </c>
      <c r="DR74" s="20">
        <f t="shared" si="70"/>
        <v>568.66631210732578</v>
      </c>
      <c r="DS74" s="59">
        <f t="shared" si="71"/>
        <v>861.99964544065915</v>
      </c>
      <c r="DT74" s="59">
        <f ca="1">AVERAGE(OFFSET($DS$3,0,0,'Données projet'!$E$14+1,1))-AVERAGE(OFFSET($H$3,0,0,'Données projet'!$E$14+1,1))</f>
        <v>249.22792522076639</v>
      </c>
      <c r="DU74" s="59">
        <f t="shared" si="98"/>
        <v>244.53725944480669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46.845201479117463</v>
      </c>
      <c r="EB74" s="21">
        <f>EXP(-LN(2)/25)*EB73+(1-EXP(-LN(2)/25))/(LN(2)/25)*Calculateur!DW74*Calculateur!DY74*VLOOKUP('Données projet'!$B$14,Paramètres!$A$1:$I$89,3,0)*0.475*44/12</f>
        <v>16.391927936656693</v>
      </c>
      <c r="EC74" s="21">
        <f>EXP(-LN(2)/2)*EC73+(1-EXP(-LN(2)/2))/(LN(2)/2)*DW74*DZ74*VLOOKUP('Données projet'!$B$14,Paramètres!$A$1:$I$89,3,0)*0.475*44/12</f>
        <v>1.3110103005817568</v>
      </c>
      <c r="ED74" s="22">
        <f t="shared" si="72"/>
        <v>64.548139716355919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2.2737367544323206E-13</v>
      </c>
      <c r="EK74" s="17">
        <f>EJ74*VLOOKUP('Données projet'!$B$15,Paramètres!$A$1:$I$89,3,0)*VLOOKUP('Données projet'!$B$15,Paramètres!$A$1:$I$89,5,0)</f>
        <v>1.2710188457276673E-13</v>
      </c>
      <c r="EL74" s="13">
        <f t="shared" si="99"/>
        <v>1.856866851063998E-12</v>
      </c>
      <c r="EM74" s="20">
        <f t="shared" si="73"/>
        <v>3.4554122145673649E-12</v>
      </c>
      <c r="EN74" s="59">
        <f t="shared" si="74"/>
        <v>293.33333333333678</v>
      </c>
      <c r="EO74" s="59">
        <f ca="1">AVERAGE(OFFSET($EN$3,0,0,'Données projet'!$E$15+1,1))-AVERAGE(OFFSET($H$3,0,0,'Données projet'!$E$15+1,1))</f>
        <v>313.36787814924116</v>
      </c>
      <c r="EP74" s="59">
        <f t="shared" si="100"/>
        <v>438.72984487610216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195.11801192834898</v>
      </c>
      <c r="EW74" s="21">
        <f>EXP(-LN(2)/25)*EW73+(1-EXP(-LN(2)/25))/(LN(2)/25)*Calculateur!ER74*Calculateur!ET74*VLOOKUP('Données projet'!$B$15,Paramètres!$A$1:$I$89,3,0)*0.475*44/12</f>
        <v>34.894739583950837</v>
      </c>
      <c r="EX74" s="21">
        <f>EXP(-LN(2)/2)*EX73+(1-EXP(-LN(2)/2))/(LN(2)/2)*ER74*EU74*VLOOKUP('Données projet'!$B$15,Paramètres!$A$1:$I$89,3,0)*0.475*44/12</f>
        <v>2.6190949985954438E-2</v>
      </c>
      <c r="EY74" s="22">
        <f t="shared" si="75"/>
        <v>230.03894246228577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5</v>
      </c>
      <c r="N75" s="13">
        <f>IF('Données projet'!$A$36&gt;35,N74+M75-V74,IF(A75&lt;'Données projet'!$A$36,$K$205^A75,IF(A75='Données projet'!$A$36,'Données projet'!$B$36,N74+M75-V74)))</f>
        <v>168</v>
      </c>
      <c r="O75" s="13">
        <f>N75*VLOOKUP('Données projet'!$B$9,Paramètres!$A$1:$I$89,3,0)*VLOOKUP('Données projet'!$B$9,Paramètres!$A$1:$I$89,5,0)</f>
        <v>152.00640000000001</v>
      </c>
      <c r="P75" s="13">
        <f t="shared" si="87"/>
        <v>39.03419401656145</v>
      </c>
      <c r="Q75" s="20">
        <f t="shared" si="54"/>
        <v>332.72903457884451</v>
      </c>
      <c r="R75" s="59">
        <f t="shared" si="55"/>
        <v>626.06236791217782</v>
      </c>
      <c r="S75" s="59">
        <f ca="1">AVERAGE(OFFSET($R$3,0,0,'Données projet'!$E$9+1,1))-AVERAGE(OFFSET($H$3,0,0,'Données projet'!$E$9+1,1))</f>
        <v>173.91998182168385</v>
      </c>
      <c r="T75" s="59">
        <f t="shared" si="88"/>
        <v>72.011647893875363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9.2495960526659982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9.2495960526659982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5</v>
      </c>
      <c r="AI75" s="13">
        <f>IF('Données projet'!$A$62&gt;35,AI74+AH75-AQ74,IF(A75&lt;'Données projet'!$A$62,$AF$205^A75,IF(A75='Données projet'!$A$62,'Données projet'!$B$62,AI74+AH75-AQ74)))</f>
        <v>168</v>
      </c>
      <c r="AJ75" s="13">
        <f>AI75*VLOOKUP('Données projet'!$B$10,Paramètres!$A$1:$I$89,3,0)*VLOOKUP('Données projet'!$B$10,Paramètres!$A$1:$I$89,5,0)</f>
        <v>180.83519999999999</v>
      </c>
      <c r="AK75" s="13">
        <f t="shared" si="89"/>
        <v>45.507952685945142</v>
      </c>
      <c r="AL75" s="20">
        <f t="shared" si="58"/>
        <v>394.21432426135442</v>
      </c>
      <c r="AM75" s="59">
        <f t="shared" si="59"/>
        <v>687.54765759468773</v>
      </c>
      <c r="AN75" s="59">
        <f ca="1">AVERAGE(OFFSET($AM$3,0,0,'Données projet'!$E$10+1,1))-AVERAGE(OFFSET($H$3,0,0,'Données projet'!$E$10+1,1))</f>
        <v>150.9416300233616</v>
      </c>
      <c r="AO75" s="59">
        <f t="shared" si="90"/>
        <v>92.286636088269972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18.380516325417236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18.380516325417236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5</v>
      </c>
      <c r="BD75" s="12">
        <f>IF('Données projet'!$A$88&gt;35,BD74+BC75-BL74,IF(A75&lt;'Données projet'!$A$88,$BA$205^A75,IF(A75='Données projet'!$A$88,'Données projet'!$B$88,BD74+BC75-BL74)))</f>
        <v>168</v>
      </c>
      <c r="BE75" s="13">
        <f>BD75*VLOOKUP('Données projet'!$B$11,Paramètres!$A$1:$I$89,3,0)*VLOOKUP('Données projet'!$B$11,Paramètres!$A$1:$I$89,5,0)</f>
        <v>162.4896</v>
      </c>
      <c r="BF75" s="13">
        <f t="shared" si="91"/>
        <v>41.403546033820696</v>
      </c>
      <c r="BG75" s="20">
        <f t="shared" si="61"/>
        <v>355.11389600890431</v>
      </c>
      <c r="BH75" s="59">
        <f t="shared" si="62"/>
        <v>648.44722934223762</v>
      </c>
      <c r="BI75" s="59">
        <f ca="1">AVERAGE(OFFSET($BH$3,0,0,'Données projet'!$E$11+1,1))-AVERAGE(OFFSET($H$3,0,0,'Données projet'!$E$11+1,1))</f>
        <v>131.02416800340484</v>
      </c>
      <c r="BJ75" s="59">
        <f t="shared" si="92"/>
        <v>79.394119001888555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16.51582626341839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16.51582626341839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5</v>
      </c>
      <c r="BY75" s="12">
        <f>IF('Données projet'!$A$114&gt;35,BY74+BX75-CG74,IF(A75&lt;'Données projet'!$A$114,$BV$205^A75,IF(A75='Données projet'!$A$114,'Données projet'!$B$114,BY74+BX75-CG74)))</f>
        <v>168</v>
      </c>
      <c r="BZ75" s="13">
        <f>BY75*VLOOKUP('Données projet'!$B$12,Paramètres!$A$1:$I$89,3,0)*VLOOKUP('Données projet'!$B$12,Paramètres!$A$1:$I$89,5,0)</f>
        <v>152.00640000000001</v>
      </c>
      <c r="CA75" s="13">
        <f t="shared" si="93"/>
        <v>39.03419401656145</v>
      </c>
      <c r="CB75" s="20">
        <f t="shared" si="64"/>
        <v>332.72903457884451</v>
      </c>
      <c r="CC75" s="59">
        <f t="shared" si="65"/>
        <v>626.06236791217782</v>
      </c>
      <c r="CD75" s="59">
        <f ca="1">AVERAGE(OFFSET($CC$3,0,0,'Données projet'!$E$12+1,1))-AVERAGE(OFFSET($H$3,0,0,'Données projet'!$E$12+1,1))</f>
        <v>119.62076457560073</v>
      </c>
      <c r="CE75" s="59">
        <f t="shared" si="94"/>
        <v>72.011647893875363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15.450289085133328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15.450289085133328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5</v>
      </c>
      <c r="CT75" s="12">
        <f>IF('Données projet'!$A$140&gt;35,CT74+CS75-DB74,IF(A75&lt;'Données projet'!$A$140,$CQ$205^A75,IF(A75='Données projet'!$A$140,'Données projet'!$B$140,CT74+CS75-DB74)))</f>
        <v>168</v>
      </c>
      <c r="CU75" s="17">
        <f>CT75*VLOOKUP('Données projet'!$B$13,Paramètres!$A$1:$I$89,3,0)*VLOOKUP('Données projet'!$B$13,Paramètres!$A$1:$I$89,5,0)</f>
        <v>180.83519999999999</v>
      </c>
      <c r="CV75" s="13">
        <f t="shared" si="95"/>
        <v>45.507952685945142</v>
      </c>
      <c r="CW75" s="20">
        <f t="shared" si="67"/>
        <v>394.21432426135442</v>
      </c>
      <c r="CX75" s="59">
        <f t="shared" si="68"/>
        <v>687.54765759468773</v>
      </c>
      <c r="CY75" s="59">
        <f ca="1">AVERAGE(OFFSET($CX$3,0,0,'Données projet'!$E$13+1,1))-AVERAGE(OFFSET($H$3,0,0,'Données projet'!$E$13+1,1))</f>
        <v>150.9416300233616</v>
      </c>
      <c r="CZ75" s="59">
        <f t="shared" si="96"/>
        <v>92.286636088269972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18.380516325417236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18.380516325417236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439.99999999999943</v>
      </c>
      <c r="DP75" s="17">
        <f>DO75*VLOOKUP('Données projet'!$B$14,Paramètres!$A$1:$I$89,3,0)*VLOOKUP('Données projet'!$B$14,Paramètres!$A$1:$I$89,5,0)</f>
        <v>263.11999999999966</v>
      </c>
      <c r="DQ75" s="13">
        <f t="shared" si="97"/>
        <v>63.386973458751953</v>
      </c>
      <c r="DR75" s="20">
        <f t="shared" si="70"/>
        <v>568.66631210732578</v>
      </c>
      <c r="DS75" s="59">
        <f t="shared" si="71"/>
        <v>861.99964544065915</v>
      </c>
      <c r="DT75" s="59">
        <f ca="1">AVERAGE(OFFSET($DS$3,0,0,'Données projet'!$E$14+1,1))-AVERAGE(OFFSET($H$3,0,0,'Données projet'!$E$14+1,1))</f>
        <v>249.22792522076639</v>
      </c>
      <c r="DU75" s="59">
        <f t="shared" si="98"/>
        <v>244.53725944480669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45.926595650863547</v>
      </c>
      <c r="EB75" s="21">
        <f>EXP(-LN(2)/25)*EB74+(1-EXP(-LN(2)/25))/(LN(2)/25)*Calculateur!DW75*Calculateur!DY75*VLOOKUP('Données projet'!$B$14,Paramètres!$A$1:$I$89,3,0)*0.475*44/12</f>
        <v>15.94368980521479</v>
      </c>
      <c r="EC75" s="21">
        <f>EXP(-LN(2)/2)*EC74+(1-EXP(-LN(2)/2))/(LN(2)/2)*DW75*DZ75*VLOOKUP('Données projet'!$B$14,Paramètres!$A$1:$I$89,3,0)*0.475*44/12</f>
        <v>0.92702427374677432</v>
      </c>
      <c r="ED75" s="22">
        <f t="shared" si="72"/>
        <v>62.797309729825109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2.2737367544323206E-13</v>
      </c>
      <c r="EK75" s="17">
        <f>EJ75*VLOOKUP('Données projet'!$B$15,Paramètres!$A$1:$I$89,3,0)*VLOOKUP('Données projet'!$B$15,Paramètres!$A$1:$I$89,5,0)</f>
        <v>1.2710188457276673E-13</v>
      </c>
      <c r="EL75" s="13">
        <f t="shared" si="99"/>
        <v>1.856866851063998E-12</v>
      </c>
      <c r="EM75" s="20">
        <f t="shared" si="73"/>
        <v>3.4554122145673649E-12</v>
      </c>
      <c r="EN75" s="59">
        <f t="shared" si="74"/>
        <v>293.33333333333678</v>
      </c>
      <c r="EO75" s="59">
        <f ca="1">AVERAGE(OFFSET($EN$3,0,0,'Données projet'!$E$15+1,1))-AVERAGE(OFFSET($H$3,0,0,'Données projet'!$E$15+1,1))</f>
        <v>313.36787814924116</v>
      </c>
      <c r="EP75" s="59">
        <f t="shared" si="100"/>
        <v>438.72984487610216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191.29186672467006</v>
      </c>
      <c r="EW75" s="21">
        <f>EXP(-LN(2)/25)*EW74+(1-EXP(-LN(2)/25))/(LN(2)/25)*Calculateur!ER75*Calculateur!ET75*VLOOKUP('Données projet'!$B$15,Paramètres!$A$1:$I$89,3,0)*0.475*44/12</f>
        <v>33.940541094993101</v>
      </c>
      <c r="EX75" s="21">
        <f>EXP(-LN(2)/2)*EX74+(1-EXP(-LN(2)/2))/(LN(2)/2)*ER75*EU75*VLOOKUP('Données projet'!$B$15,Paramètres!$A$1:$I$89,3,0)*0.475*44/12</f>
        <v>1.8519798340786094E-2</v>
      </c>
      <c r="EY75" s="22">
        <f t="shared" si="75"/>
        <v>225.25092761800394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5</v>
      </c>
      <c r="N76" s="13">
        <f>IF('Données projet'!$A$36&gt;35,N75+M76-V75,IF(A76&lt;'Données projet'!$A$36,$K$205^A76,IF(A76='Données projet'!$A$36,'Données projet'!$B$36,N75+M76-V75)))</f>
        <v>173</v>
      </c>
      <c r="O76" s="13">
        <f>N76*VLOOKUP('Données projet'!$B$9,Paramètres!$A$1:$I$89,3,0)*VLOOKUP('Données projet'!$B$9,Paramètres!$A$1:$I$89,5,0)</f>
        <v>156.53039999999999</v>
      </c>
      <c r="P76" s="13">
        <f t="shared" si="87"/>
        <v>40.058941713182037</v>
      </c>
      <c r="Q76" s="20">
        <f t="shared" si="54"/>
        <v>342.393103483792</v>
      </c>
      <c r="R76" s="59">
        <f t="shared" si="55"/>
        <v>635.72643681712532</v>
      </c>
      <c r="S76" s="59">
        <f ca="1">AVERAGE(OFFSET($R$3,0,0,'Données projet'!$E$9+1,1))-AVERAGE(OFFSET($H$3,0,0,'Données projet'!$E$9+1,1))</f>
        <v>173.91998182168385</v>
      </c>
      <c r="T76" s="59">
        <f t="shared" si="88"/>
        <v>72.011647893875363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9.0682171157697393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9.0682171157697393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5</v>
      </c>
      <c r="AI76" s="13">
        <f>IF('Données projet'!$A$62&gt;35,AI75+AH76-AQ75,IF(A76&lt;'Données projet'!$A$62,$AF$205^A76,IF(A76='Données projet'!$A$62,'Données projet'!$B$62,AI75+AH76-AQ75)))</f>
        <v>173</v>
      </c>
      <c r="AJ76" s="13">
        <f>AI76*VLOOKUP('Données projet'!$B$10,Paramètres!$A$1:$I$89,3,0)*VLOOKUP('Données projet'!$B$10,Paramètres!$A$1:$I$89,5,0)</f>
        <v>186.21719999999999</v>
      </c>
      <c r="AK76" s="13">
        <f t="shared" si="89"/>
        <v>46.702653149673253</v>
      </c>
      <c r="AL76" s="20">
        <f t="shared" si="58"/>
        <v>405.66874423568089</v>
      </c>
      <c r="AM76" s="59">
        <f t="shared" si="59"/>
        <v>699.0020775690142</v>
      </c>
      <c r="AN76" s="59">
        <f ca="1">AVERAGE(OFFSET($AM$3,0,0,'Données projet'!$E$10+1,1))-AVERAGE(OFFSET($H$3,0,0,'Données projet'!$E$10+1,1))</f>
        <v>150.9416300233616</v>
      </c>
      <c r="AO76" s="59">
        <f t="shared" si="90"/>
        <v>92.286636088269972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18.020085611283768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18.020085611283768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5</v>
      </c>
      <c r="BD76" s="12">
        <f>IF('Données projet'!$A$88&gt;35,BD75+BC76-BL75,IF(A76&lt;'Données projet'!$A$88,$BA$205^A76,IF(A76='Données projet'!$A$88,'Données projet'!$B$88,BD75+BC76-BL75)))</f>
        <v>173</v>
      </c>
      <c r="BE76" s="13">
        <f>BD76*VLOOKUP('Données projet'!$B$11,Paramètres!$A$1:$I$89,3,0)*VLOOKUP('Données projet'!$B$11,Paramètres!$A$1:$I$89,5,0)</f>
        <v>167.32560000000001</v>
      </c>
      <c r="BF76" s="13">
        <f t="shared" si="91"/>
        <v>42.490495297127609</v>
      </c>
      <c r="BG76" s="20">
        <f t="shared" si="61"/>
        <v>365.42969930916388</v>
      </c>
      <c r="BH76" s="59">
        <f t="shared" si="62"/>
        <v>658.76303264249714</v>
      </c>
      <c r="BI76" s="59">
        <f ca="1">AVERAGE(OFFSET($BH$3,0,0,'Données projet'!$E$11+1,1))-AVERAGE(OFFSET($H$3,0,0,'Données projet'!$E$11+1,1))</f>
        <v>131.02416800340484</v>
      </c>
      <c r="BJ76" s="59">
        <f t="shared" si="92"/>
        <v>79.394119001888555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16.191960984052084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16.191960984052084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5</v>
      </c>
      <c r="BY76" s="12">
        <f>IF('Données projet'!$A$114&gt;35,BY75+BX76-CG75,IF(A76&lt;'Données projet'!$A$114,$BV$205^A76,IF(A76='Données projet'!$A$114,'Données projet'!$B$114,BY75+BX76-CG75)))</f>
        <v>173</v>
      </c>
      <c r="BZ76" s="13">
        <f>BY76*VLOOKUP('Données projet'!$B$12,Paramètres!$A$1:$I$89,3,0)*VLOOKUP('Données projet'!$B$12,Paramètres!$A$1:$I$89,5,0)</f>
        <v>156.53039999999999</v>
      </c>
      <c r="CA76" s="13">
        <f t="shared" si="93"/>
        <v>40.058941713182037</v>
      </c>
      <c r="CB76" s="20">
        <f t="shared" si="64"/>
        <v>342.393103483792</v>
      </c>
      <c r="CC76" s="59">
        <f t="shared" si="65"/>
        <v>635.72643681712532</v>
      </c>
      <c r="CD76" s="59">
        <f ca="1">AVERAGE(OFFSET($CC$3,0,0,'Données projet'!$E$12+1,1))-AVERAGE(OFFSET($H$3,0,0,'Données projet'!$E$12+1,1))</f>
        <v>119.62076457560073</v>
      </c>
      <c r="CE76" s="59">
        <f t="shared" si="94"/>
        <v>72.011647893875363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15.147318339919687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15.147318339919687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5</v>
      </c>
      <c r="CT76" s="12">
        <f>IF('Données projet'!$A$140&gt;35,CT75+CS76-DB75,IF(A76&lt;'Données projet'!$A$140,$CQ$205^A76,IF(A76='Données projet'!$A$140,'Données projet'!$B$140,CT75+CS76-DB75)))</f>
        <v>173</v>
      </c>
      <c r="CU76" s="17">
        <f>CT76*VLOOKUP('Données projet'!$B$13,Paramètres!$A$1:$I$89,3,0)*VLOOKUP('Données projet'!$B$13,Paramètres!$A$1:$I$89,5,0)</f>
        <v>186.21719999999999</v>
      </c>
      <c r="CV76" s="13">
        <f t="shared" si="95"/>
        <v>46.702653149673253</v>
      </c>
      <c r="CW76" s="20">
        <f t="shared" si="67"/>
        <v>405.66874423568089</v>
      </c>
      <c r="CX76" s="59">
        <f t="shared" si="68"/>
        <v>699.0020775690142</v>
      </c>
      <c r="CY76" s="59">
        <f ca="1">AVERAGE(OFFSET($CX$3,0,0,'Données projet'!$E$13+1,1))-AVERAGE(OFFSET($H$3,0,0,'Données projet'!$E$13+1,1))</f>
        <v>150.9416300233616</v>
      </c>
      <c r="CZ76" s="59">
        <f t="shared" si="96"/>
        <v>92.286636088269972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18.020085611283768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18.020085611283768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439.99999999999943</v>
      </c>
      <c r="DP76" s="17">
        <f>DO76*VLOOKUP('Données projet'!$B$14,Paramètres!$A$1:$I$89,3,0)*VLOOKUP('Données projet'!$B$14,Paramètres!$A$1:$I$89,5,0)</f>
        <v>263.11999999999966</v>
      </c>
      <c r="DQ76" s="13">
        <f t="shared" si="97"/>
        <v>63.386973458751953</v>
      </c>
      <c r="DR76" s="20">
        <f t="shared" si="70"/>
        <v>568.66631210732578</v>
      </c>
      <c r="DS76" s="59">
        <f t="shared" si="71"/>
        <v>861.99964544065915</v>
      </c>
      <c r="DT76" s="59">
        <f ca="1">AVERAGE(OFFSET($DS$3,0,0,'Données projet'!$E$14+1,1))-AVERAGE(OFFSET($H$3,0,0,'Données projet'!$E$14+1,1))</f>
        <v>249.22792522076639</v>
      </c>
      <c r="DU76" s="59">
        <f t="shared" si="98"/>
        <v>244.53725944480669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45.026003122607456</v>
      </c>
      <c r="EB76" s="21">
        <f>EXP(-LN(2)/25)*EB75+(1-EXP(-LN(2)/25))/(LN(2)/25)*Calculateur!DW76*Calculateur!DY76*VLOOKUP('Données projet'!$B$14,Paramètres!$A$1:$I$89,3,0)*0.475*44/12</f>
        <v>15.507708769048984</v>
      </c>
      <c r="EC76" s="21">
        <f>EXP(-LN(2)/2)*EC75+(1-EXP(-LN(2)/2))/(LN(2)/2)*DW76*DZ76*VLOOKUP('Données projet'!$B$14,Paramètres!$A$1:$I$89,3,0)*0.475*44/12</f>
        <v>0.65550515029087852</v>
      </c>
      <c r="ED76" s="22">
        <f t="shared" si="72"/>
        <v>61.189217041947316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2.2737367544323206E-13</v>
      </c>
      <c r="EK76" s="17">
        <f>EJ76*VLOOKUP('Données projet'!$B$15,Paramètres!$A$1:$I$89,3,0)*VLOOKUP('Données projet'!$B$15,Paramètres!$A$1:$I$89,5,0)</f>
        <v>1.2710188457276673E-13</v>
      </c>
      <c r="EL76" s="13">
        <f t="shared" si="99"/>
        <v>1.856866851063998E-12</v>
      </c>
      <c r="EM76" s="20">
        <f t="shared" si="73"/>
        <v>3.4554122145673649E-12</v>
      </c>
      <c r="EN76" s="59">
        <f t="shared" si="74"/>
        <v>293.33333333333678</v>
      </c>
      <c r="EO76" s="59">
        <f ca="1">AVERAGE(OFFSET($EN$3,0,0,'Données projet'!$E$15+1,1))-AVERAGE(OFFSET($H$3,0,0,'Données projet'!$E$15+1,1))</f>
        <v>313.36787814924116</v>
      </c>
      <c r="EP76" s="59">
        <f t="shared" si="100"/>
        <v>438.72984487610216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187.54074989471712</v>
      </c>
      <c r="EW76" s="21">
        <f>EXP(-LN(2)/25)*EW75+(1-EXP(-LN(2)/25))/(LN(2)/25)*Calculateur!ER76*Calculateur!ET76*VLOOKUP('Données projet'!$B$15,Paramètres!$A$1:$I$89,3,0)*0.475*44/12</f>
        <v>33.012435213895031</v>
      </c>
      <c r="EX76" s="21">
        <f>EXP(-LN(2)/2)*EX75+(1-EXP(-LN(2)/2))/(LN(2)/2)*ER76*EU76*VLOOKUP('Données projet'!$B$15,Paramètres!$A$1:$I$89,3,0)*0.475*44/12</f>
        <v>1.3095474992977219E-2</v>
      </c>
      <c r="EY76" s="22">
        <f t="shared" si="75"/>
        <v>220.56628058360513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5</v>
      </c>
      <c r="N77" s="13">
        <f>IF('Données projet'!$A$36&gt;35,N76+M77-V76,IF(A77&lt;'Données projet'!$A$36,$K$205^A77,IF(A77='Données projet'!$A$36,'Données projet'!$B$36,N76+M77-V76)))</f>
        <v>178</v>
      </c>
      <c r="O77" s="13">
        <f>N77*VLOOKUP('Données projet'!$B$9,Paramètres!$A$1:$I$89,3,0)*VLOOKUP('Données projet'!$B$9,Paramètres!$A$1:$I$89,5,0)</f>
        <v>161.05439999999999</v>
      </c>
      <c r="P77" s="13">
        <f t="shared" si="87"/>
        <v>41.080247278685491</v>
      </c>
      <c r="Q77" s="20">
        <f t="shared" si="54"/>
        <v>352.05117734371055</v>
      </c>
      <c r="R77" s="59">
        <f t="shared" si="55"/>
        <v>645.38451067704386</v>
      </c>
      <c r="S77" s="59">
        <f ca="1">AVERAGE(OFFSET($R$3,0,0,'Données projet'!$E$9+1,1))-AVERAGE(OFFSET($H$3,0,0,'Données projet'!$E$9+1,1))</f>
        <v>173.91998182168385</v>
      </c>
      <c r="T77" s="59">
        <f t="shared" si="88"/>
        <v>72.011647893875363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8.8903949091957877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8.8903949091957877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5</v>
      </c>
      <c r="AI77" s="13">
        <f>IF('Données projet'!$A$62&gt;35,AI76+AH77-AQ76,IF(A77&lt;'Données projet'!$A$62,$AF$205^A77,IF(A77='Données projet'!$A$62,'Données projet'!$B$62,AI76+AH77-AQ76)))</f>
        <v>178</v>
      </c>
      <c r="AJ77" s="13">
        <f>AI77*VLOOKUP('Données projet'!$B$10,Paramètres!$A$1:$I$89,3,0)*VLOOKUP('Données projet'!$B$10,Paramètres!$A$1:$I$89,5,0)</f>
        <v>191.5992</v>
      </c>
      <c r="AK77" s="13">
        <f t="shared" si="89"/>
        <v>47.893340610341859</v>
      </c>
      <c r="AL77" s="20">
        <f t="shared" si="58"/>
        <v>417.1161748963454</v>
      </c>
      <c r="AM77" s="59">
        <f t="shared" si="59"/>
        <v>710.44950822967871</v>
      </c>
      <c r="AN77" s="59">
        <f ca="1">AVERAGE(OFFSET($AM$3,0,0,'Données projet'!$E$10+1,1))-AVERAGE(OFFSET($H$3,0,0,'Données projet'!$E$10+1,1))</f>
        <v>150.9416300233616</v>
      </c>
      <c r="AO77" s="59">
        <f t="shared" si="90"/>
        <v>92.286636088269972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17.666722723613429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17.666722723613429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5</v>
      </c>
      <c r="BD77" s="12">
        <f>IF('Données projet'!$A$88&gt;35,BD76+BC77-BL76,IF(A77&lt;'Données projet'!$A$88,$BA$205^A77,IF(A77='Données projet'!$A$88,'Données projet'!$B$88,BD76+BC77-BL76)))</f>
        <v>178</v>
      </c>
      <c r="BE77" s="13">
        <f>BD77*VLOOKUP('Données projet'!$B$11,Paramètres!$A$1:$I$89,3,0)*VLOOKUP('Données projet'!$B$11,Paramètres!$A$1:$I$89,5,0)</f>
        <v>172.16159999999999</v>
      </c>
      <c r="BF77" s="13">
        <f t="shared" si="91"/>
        <v>43.57379349403616</v>
      </c>
      <c r="BG77" s="20">
        <f t="shared" si="61"/>
        <v>375.7391436687796</v>
      </c>
      <c r="BH77" s="59">
        <f t="shared" si="62"/>
        <v>669.07247700211292</v>
      </c>
      <c r="BI77" s="59">
        <f ca="1">AVERAGE(OFFSET($BH$3,0,0,'Données projet'!$E$11+1,1))-AVERAGE(OFFSET($H$3,0,0,'Données projet'!$E$11+1,1))</f>
        <v>131.02416800340484</v>
      </c>
      <c r="BJ77" s="59">
        <f t="shared" si="92"/>
        <v>79.394119001888555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15.874446505275838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15.874446505275838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5</v>
      </c>
      <c r="BY77" s="12">
        <f>IF('Données projet'!$A$114&gt;35,BY76+BX77-CG76,IF(A77&lt;'Données projet'!$A$114,$BV$205^A77,IF(A77='Données projet'!$A$114,'Données projet'!$B$114,BY76+BX77-CG76)))</f>
        <v>178</v>
      </c>
      <c r="BZ77" s="13">
        <f>BY77*VLOOKUP('Données projet'!$B$12,Paramètres!$A$1:$I$89,3,0)*VLOOKUP('Données projet'!$B$12,Paramètres!$A$1:$I$89,5,0)</f>
        <v>161.05439999999999</v>
      </c>
      <c r="CA77" s="13">
        <f t="shared" si="93"/>
        <v>41.080247278685491</v>
      </c>
      <c r="CB77" s="20">
        <f t="shared" si="64"/>
        <v>352.05117734371055</v>
      </c>
      <c r="CC77" s="59">
        <f t="shared" si="65"/>
        <v>645.38451067704386</v>
      </c>
      <c r="CD77" s="59">
        <f ca="1">AVERAGE(OFFSET($CC$3,0,0,'Données projet'!$E$12+1,1))-AVERAGE(OFFSET($H$3,0,0,'Données projet'!$E$12+1,1))</f>
        <v>119.62076457560073</v>
      </c>
      <c r="CE77" s="59">
        <f t="shared" si="94"/>
        <v>72.011647893875363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14.850288666225779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14.850288666225779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5</v>
      </c>
      <c r="CT77" s="12">
        <f>IF('Données projet'!$A$140&gt;35,CT76+CS77-DB76,IF(A77&lt;'Données projet'!$A$140,$CQ$205^A77,IF(A77='Données projet'!$A$140,'Données projet'!$B$140,CT76+CS77-DB76)))</f>
        <v>178</v>
      </c>
      <c r="CU77" s="17">
        <f>CT77*VLOOKUP('Données projet'!$B$13,Paramètres!$A$1:$I$89,3,0)*VLOOKUP('Données projet'!$B$13,Paramètres!$A$1:$I$89,5,0)</f>
        <v>191.5992</v>
      </c>
      <c r="CV77" s="13">
        <f t="shared" si="95"/>
        <v>47.893340610341859</v>
      </c>
      <c r="CW77" s="20">
        <f t="shared" si="67"/>
        <v>417.1161748963454</v>
      </c>
      <c r="CX77" s="59">
        <f t="shared" si="68"/>
        <v>710.44950822967871</v>
      </c>
      <c r="CY77" s="59">
        <f ca="1">AVERAGE(OFFSET($CX$3,0,0,'Données projet'!$E$13+1,1))-AVERAGE(OFFSET($H$3,0,0,'Données projet'!$E$13+1,1))</f>
        <v>150.9416300233616</v>
      </c>
      <c r="CZ77" s="59">
        <f t="shared" si="96"/>
        <v>92.286636088269972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17.666722723613429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17.666722723613429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439.99999999999943</v>
      </c>
      <c r="DP77" s="17">
        <f>DO77*VLOOKUP('Données projet'!$B$14,Paramètres!$A$1:$I$89,3,0)*VLOOKUP('Données projet'!$B$14,Paramètres!$A$1:$I$89,5,0)</f>
        <v>263.11999999999966</v>
      </c>
      <c r="DQ77" s="13">
        <f t="shared" si="97"/>
        <v>63.386973458751953</v>
      </c>
      <c r="DR77" s="20">
        <f t="shared" si="70"/>
        <v>568.66631210732578</v>
      </c>
      <c r="DS77" s="59">
        <f t="shared" si="71"/>
        <v>861.99964544065915</v>
      </c>
      <c r="DT77" s="59">
        <f ca="1">AVERAGE(OFFSET($DS$3,0,0,'Données projet'!$E$14+1,1))-AVERAGE(OFFSET($H$3,0,0,'Données projet'!$E$14+1,1))</f>
        <v>249.22792522076639</v>
      </c>
      <c r="DU77" s="59">
        <f t="shared" si="98"/>
        <v>244.53725944480669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44.143070664523265</v>
      </c>
      <c r="EB77" s="21">
        <f>EXP(-LN(2)/25)*EB76+(1-EXP(-LN(2)/25))/(LN(2)/25)*Calculateur!DW77*Calculateur!DY77*VLOOKUP('Données projet'!$B$14,Paramètres!$A$1:$I$89,3,0)*0.475*44/12</f>
        <v>15.083649657244379</v>
      </c>
      <c r="EC77" s="21">
        <f>EXP(-LN(2)/2)*EC76+(1-EXP(-LN(2)/2))/(LN(2)/2)*DW77*DZ77*VLOOKUP('Données projet'!$B$14,Paramètres!$A$1:$I$89,3,0)*0.475*44/12</f>
        <v>0.46351213687338721</v>
      </c>
      <c r="ED77" s="22">
        <f t="shared" si="72"/>
        <v>59.690232458641034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2.2737367544323206E-13</v>
      </c>
      <c r="EK77" s="17">
        <f>EJ77*VLOOKUP('Données projet'!$B$15,Paramètres!$A$1:$I$89,3,0)*VLOOKUP('Données projet'!$B$15,Paramètres!$A$1:$I$89,5,0)</f>
        <v>1.2710188457276673E-13</v>
      </c>
      <c r="EL77" s="13">
        <f t="shared" si="99"/>
        <v>1.856866851063998E-12</v>
      </c>
      <c r="EM77" s="20">
        <f t="shared" si="73"/>
        <v>3.4554122145673649E-12</v>
      </c>
      <c r="EN77" s="59">
        <f t="shared" si="74"/>
        <v>293.33333333333678</v>
      </c>
      <c r="EO77" s="59">
        <f ca="1">AVERAGE(OFFSET($EN$3,0,0,'Données projet'!$E$15+1,1))-AVERAGE(OFFSET($H$3,0,0,'Données projet'!$E$15+1,1))</f>
        <v>313.36787814924116</v>
      </c>
      <c r="EP77" s="59">
        <f t="shared" si="100"/>
        <v>438.72984487610216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183.86319017784422</v>
      </c>
      <c r="EW77" s="21">
        <f>EXP(-LN(2)/25)*EW76+(1-EXP(-LN(2)/25))/(LN(2)/25)*Calculateur!ER77*Calculateur!ET77*VLOOKUP('Données projet'!$B$15,Paramètres!$A$1:$I$89,3,0)*0.475*44/12</f>
        <v>32.109708436922553</v>
      </c>
      <c r="EX77" s="21">
        <f>EXP(-LN(2)/2)*EX76+(1-EXP(-LN(2)/2))/(LN(2)/2)*ER77*EU77*VLOOKUP('Données projet'!$B$15,Paramètres!$A$1:$I$89,3,0)*0.475*44/12</f>
        <v>9.2598991703930471E-3</v>
      </c>
      <c r="EY77" s="22">
        <f t="shared" si="75"/>
        <v>215.98215851393715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183</v>
      </c>
      <c r="L78" s="12">
        <f>VLOOKUP(A78,'Données projet'!$A$35:$I$55,9,0)</f>
        <v>5</v>
      </c>
      <c r="M78" s="12">
        <f t="array" ref="M78">INDEX(L:L,MIN(IF(ISNUMBER(L78:L274),ROW(L78:L274),"")))</f>
        <v>5</v>
      </c>
      <c r="N78" s="13">
        <f>IF('Données projet'!$A$36&gt;35,N77+M78-V77,IF(A78&lt;'Données projet'!$A$36,$K$205^A78,IF(A78='Données projet'!$A$36,'Données projet'!$B$36,N77+M78-V77)))</f>
        <v>183</v>
      </c>
      <c r="O78" s="13">
        <f>N78*VLOOKUP('Données projet'!$B$9,Paramètres!$A$1:$I$89,3,0)*VLOOKUP('Données projet'!$B$9,Paramètres!$A$1:$I$89,5,0)</f>
        <v>165.57839999999999</v>
      </c>
      <c r="P78" s="13">
        <f t="shared" si="87"/>
        <v>42.098218509199697</v>
      </c>
      <c r="Q78" s="20">
        <f t="shared" si="54"/>
        <v>361.70344390352278</v>
      </c>
      <c r="R78" s="59">
        <f t="shared" si="55"/>
        <v>655.0367772368561</v>
      </c>
      <c r="S78" s="59">
        <f ca="1">AVERAGE(OFFSET($R$3,0,0,'Données projet'!$E$9+1,1))-AVERAGE(OFFSET($H$3,0,0,'Données projet'!$E$9+1,1))</f>
        <v>173.91998182168385</v>
      </c>
      <c r="T78" s="59">
        <f t="shared" si="88"/>
        <v>72.011647893875363</v>
      </c>
      <c r="U78" s="15">
        <f>IF(ISNA(VLOOKUP(A78,'Données projet'!$A$35:$I$55,3,0)),0,VLOOKUP(A78,'Données projet'!$A$35:$I$55,3,0))</f>
        <v>11</v>
      </c>
      <c r="V78" s="15">
        <f>IF(ISNA(VLOOKUP(A78,'Données projet'!$A$35:$I$55,4,0)),0,VLOOKUP(A78,'Données projet'!$A$35:$I$55,4,0))</f>
        <v>14</v>
      </c>
      <c r="W78" s="16">
        <f>IF(ISNA(VLOOKUP(A78,'Données projet'!$A$35:$I$55,5,0)),0%,VLOOKUP(A78,'Données projet'!$A$35:$I$55,5,0)*VLOOKUP('Données projet'!$B$9,Paramètres!$A$1:$I$89,7,0))</f>
        <v>0.215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11.72675078183017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11.72675078183017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183</v>
      </c>
      <c r="AG78" s="12">
        <f>VLOOKUP(A78,'Données projet'!$A$61:$I$81,9,0)</f>
        <v>5</v>
      </c>
      <c r="AH78" s="12">
        <f t="array" ref="AH78">INDEX(AG:AG,MIN(IF(ISNUMBER(AG78:AG274),ROW(AG78:AG274),"")))</f>
        <v>5</v>
      </c>
      <c r="AI78" s="13">
        <f>IF('Données projet'!$A$62&gt;35,AI77+AH78-AQ77,IF(A78&lt;'Données projet'!$A$62,$AF$205^A78,IF(A78='Données projet'!$A$62,'Données projet'!$B$62,AI77+AH78-AQ77)))</f>
        <v>183</v>
      </c>
      <c r="AJ78" s="13">
        <f>AI78*VLOOKUP('Données projet'!$B$10,Paramètres!$A$1:$I$89,3,0)*VLOOKUP('Données projet'!$B$10,Paramètres!$A$1:$I$89,5,0)</f>
        <v>196.9812</v>
      </c>
      <c r="AK78" s="13">
        <f t="shared" si="89"/>
        <v>49.080140741894134</v>
      </c>
      <c r="AL78" s="20">
        <f t="shared" si="58"/>
        <v>428.55683512546557</v>
      </c>
      <c r="AM78" s="59">
        <f t="shared" si="59"/>
        <v>721.89016845879883</v>
      </c>
      <c r="AN78" s="59">
        <f ca="1">AVERAGE(OFFSET($AM$3,0,0,'Données projet'!$E$10+1,1))-AVERAGE(OFFSET($H$3,0,0,'Données projet'!$E$10+1,1))</f>
        <v>150.9416300233616</v>
      </c>
      <c r="AO78" s="59">
        <f t="shared" si="90"/>
        <v>92.286636088269972</v>
      </c>
      <c r="AP78" s="15">
        <f>IF(ISNA(VLOOKUP(A78,'Données projet'!$A$61:$I$81,3,0)),0,VLOOKUP(A78,'Données projet'!$A$61:$I$81,3,0))</f>
        <v>11</v>
      </c>
      <c r="AQ78" s="15">
        <f>IF(ISNA(VLOOKUP(A78,'Données projet'!$A$61:$I$81,4,0)),0,VLOOKUP(A78,'Données projet'!$A$61:$I$81,4,0))</f>
        <v>14</v>
      </c>
      <c r="AR78" s="16">
        <f>IF(ISNA(VLOOKUP(A78,'Données projet'!$A$61:$I$81,5,0)),0%,VLOOKUP(A78,'Données projet'!$A$61:$I$81,5,0)*VLOOKUP('Données projet'!$B$10,Paramètres!$A$1:$I$89,7,0))</f>
        <v>0.30099999999999999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22.334646992494559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22.334646992494559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183</v>
      </c>
      <c r="BB78" s="12">
        <f>VLOOKUP(A78,'Données projet'!$A$87:$I$107,9,0)</f>
        <v>5</v>
      </c>
      <c r="BC78" s="12">
        <f t="array" ref="BC78">INDEX(BB:BB,MIN(IF(ISNUMBER(BB78:BB274),ROW(BB78:BB274),"")))</f>
        <v>5</v>
      </c>
      <c r="BD78" s="12">
        <f>IF('Données projet'!$A$88&gt;35,BD77+BC78-BL77,IF(A78&lt;'Données projet'!$A$88,$BA$205^A78,IF(A78='Données projet'!$A$88,'Données projet'!$B$88,BD77+BC78-BL77)))</f>
        <v>183</v>
      </c>
      <c r="BE78" s="13">
        <f>BD78*VLOOKUP('Données projet'!$B$11,Paramètres!$A$1:$I$89,3,0)*VLOOKUP('Données projet'!$B$11,Paramètres!$A$1:$I$89,5,0)</f>
        <v>176.99760000000001</v>
      </c>
      <c r="BF78" s="13">
        <f t="shared" si="91"/>
        <v>44.653554963834047</v>
      </c>
      <c r="BG78" s="20">
        <f t="shared" si="61"/>
        <v>386.04242822867764</v>
      </c>
      <c r="BH78" s="59">
        <f t="shared" si="62"/>
        <v>679.37576156201089</v>
      </c>
      <c r="BI78" s="59">
        <f ca="1">AVERAGE(OFFSET($BH$3,0,0,'Données projet'!$E$11+1,1))-AVERAGE(OFFSET($H$3,0,0,'Données projet'!$E$11+1,1))</f>
        <v>131.02416800340484</v>
      </c>
      <c r="BJ78" s="59">
        <f t="shared" si="92"/>
        <v>79.394119001888555</v>
      </c>
      <c r="BK78" s="15">
        <f>IF(ISNA(VLOOKUP(A78,'Données projet'!$A$87:$I$107,3,0)),0,VLOOKUP(A78,'Données projet'!$A$87:$I$107,3,0))</f>
        <v>11</v>
      </c>
      <c r="BL78" s="15">
        <f>IF(ISNA(VLOOKUP(A78,'Données projet'!$A$87:$I$107,4,0)),0,VLOOKUP(A78,'Données projet'!$A$87:$I$107,4,0))</f>
        <v>14</v>
      </c>
      <c r="BM78" s="16">
        <f>IF(ISNA(VLOOKUP(A78,'Données projet'!$A$87:$I$107,5,0)),0%,VLOOKUP(A78,'Données projet'!$A$87:$I$107,5,0)*VLOOKUP('Données projet'!$B$11,Paramètres!$A$1:$I$89,7,0))</f>
        <v>0.30099999999999999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20.068813239632792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20.068813239632792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183</v>
      </c>
      <c r="BW78" s="12">
        <f>VLOOKUP(A78,'Données projet'!$A$113:$I$133,9,0)</f>
        <v>5</v>
      </c>
      <c r="BX78" s="12">
        <f t="array" ref="BX78">INDEX(BW:BW,MIN(IF(ISNUMBER(BW78:BW274),ROW(BW78:BW274),"")))</f>
        <v>5</v>
      </c>
      <c r="BY78" s="12">
        <f>IF('Données projet'!$A$114&gt;35,BY77+BX78-CG77,IF(A78&lt;'Données projet'!$A$114,$BV$205^A78,IF(A78='Données projet'!$A$114,'Données projet'!$B$114,BY77+BX78-CG77)))</f>
        <v>183</v>
      </c>
      <c r="BZ78" s="13">
        <f>BY78*VLOOKUP('Données projet'!$B$12,Paramètres!$A$1:$I$89,3,0)*VLOOKUP('Données projet'!$B$12,Paramètres!$A$1:$I$89,5,0)</f>
        <v>165.57839999999999</v>
      </c>
      <c r="CA78" s="13">
        <f t="shared" si="93"/>
        <v>42.098218509199697</v>
      </c>
      <c r="CB78" s="20">
        <f t="shared" si="64"/>
        <v>361.70344390352278</v>
      </c>
      <c r="CC78" s="59">
        <f t="shared" si="65"/>
        <v>655.0367772368561</v>
      </c>
      <c r="CD78" s="59">
        <f ca="1">AVERAGE(OFFSET($CC$3,0,0,'Données projet'!$E$12+1,1))-AVERAGE(OFFSET($H$3,0,0,'Données projet'!$E$12+1,1))</f>
        <v>119.62076457560073</v>
      </c>
      <c r="CE78" s="59">
        <f t="shared" si="94"/>
        <v>72.011647893875363</v>
      </c>
      <c r="CF78" s="15">
        <f>IF(ISNA(VLOOKUP(A78,'Données projet'!$A$113:$I$133,3,0)),0,VLOOKUP(A78,'Données projet'!$A$113:$I$133,3,0))</f>
        <v>11</v>
      </c>
      <c r="CG78" s="15">
        <f>IF(ISNA(VLOOKUP(A78,'Données projet'!$A$113:$I$133,4,0)),0,VLOOKUP(A78,'Données projet'!$A$113:$I$133,4,0))</f>
        <v>14</v>
      </c>
      <c r="CH78" s="16">
        <f>IF(ISNA(VLOOKUP(A78,'Données projet'!$A$113:$I$133,5,0)),0%,VLOOKUP(A78,'Données projet'!$A$113:$I$133,5,0)*VLOOKUP('Données projet'!$B$12,Paramètres!$A$1:$I$89,7,0))</f>
        <v>0.30099999999999999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18.774051095140351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18.774051095140351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183</v>
      </c>
      <c r="CR78" s="12">
        <f>VLOOKUP(A78,'Données projet'!$A$139:$I$159,9,0)</f>
        <v>5</v>
      </c>
      <c r="CS78" s="12">
        <f t="array" ref="CS78">INDEX(CR:CR,MIN(IF(ISNUMBER(CR78:CR274),ROW(CR78:CR274),"")))</f>
        <v>5</v>
      </c>
      <c r="CT78" s="12">
        <f>IF('Données projet'!$A$140&gt;35,CT77+CS78-DB77,IF(A78&lt;'Données projet'!$A$140,$CQ$205^A78,IF(A78='Données projet'!$A$140,'Données projet'!$B$140,CT77+CS78-DB77)))</f>
        <v>183</v>
      </c>
      <c r="CU78" s="17">
        <f>CT78*VLOOKUP('Données projet'!$B$13,Paramètres!$A$1:$I$89,3,0)*VLOOKUP('Données projet'!$B$13,Paramètres!$A$1:$I$89,5,0)</f>
        <v>196.9812</v>
      </c>
      <c r="CV78" s="13">
        <f t="shared" si="95"/>
        <v>49.080140741894134</v>
      </c>
      <c r="CW78" s="20">
        <f t="shared" si="67"/>
        <v>428.55683512546557</v>
      </c>
      <c r="CX78" s="59">
        <f t="shared" si="68"/>
        <v>721.89016845879883</v>
      </c>
      <c r="CY78" s="59">
        <f ca="1">AVERAGE(OFFSET($CX$3,0,0,'Données projet'!$E$13+1,1))-AVERAGE(OFFSET($H$3,0,0,'Données projet'!$E$13+1,1))</f>
        <v>150.9416300233616</v>
      </c>
      <c r="CZ78" s="59">
        <f t="shared" si="96"/>
        <v>92.286636088269972</v>
      </c>
      <c r="DA78" s="15">
        <f>IF(ISNA(VLOOKUP(A78,'Données projet'!$A$139:$I$159,3,0)),0,VLOOKUP(A78,'Données projet'!$A$139:$I$159,3,0))</f>
        <v>11</v>
      </c>
      <c r="DB78" s="15">
        <f>IF(ISNA(VLOOKUP(A78,'Données projet'!$A$139:$I$159,4,0)),0,VLOOKUP(A78,'Données projet'!$A$139:$I$159,4,0))</f>
        <v>14</v>
      </c>
      <c r="DC78" s="16">
        <f>IF(ISNA(VLOOKUP(A78,'Données projet'!$A$139:$I$159,5,0)),0%,VLOOKUP(A78,'Données projet'!$A$139:$I$159,5,0)*VLOOKUP('Données projet'!$B$13,Paramètres!$A$1:$I$89,7,0))</f>
        <v>0.30099999999999999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22.334646992494559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22.334646992494559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439.99999999999943</v>
      </c>
      <c r="DP78" s="17">
        <f>DO78*VLOOKUP('Données projet'!$B$14,Paramètres!$A$1:$I$89,3,0)*VLOOKUP('Données projet'!$B$14,Paramètres!$A$1:$I$89,5,0)</f>
        <v>263.11999999999966</v>
      </c>
      <c r="DQ78" s="13">
        <f t="shared" si="97"/>
        <v>63.386973458751953</v>
      </c>
      <c r="DR78" s="20">
        <f t="shared" si="70"/>
        <v>568.66631210732578</v>
      </c>
      <c r="DS78" s="59">
        <f t="shared" si="71"/>
        <v>861.99964544065915</v>
      </c>
      <c r="DT78" s="59">
        <f ca="1">AVERAGE(OFFSET($DS$3,0,0,'Données projet'!$E$14+1,1))-AVERAGE(OFFSET($H$3,0,0,'Données projet'!$E$14+1,1))</f>
        <v>249.22792522076639</v>
      </c>
      <c r="DU78" s="59">
        <f t="shared" si="98"/>
        <v>244.53725944480669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43.277451973406485</v>
      </c>
      <c r="EB78" s="21">
        <f>EXP(-LN(2)/25)*EB77+(1-EXP(-LN(2)/25))/(LN(2)/25)*Calculateur!DW78*Calculateur!DY78*VLOOKUP('Données projet'!$B$14,Paramètres!$A$1:$I$89,3,0)*0.475*44/12</f>
        <v>14.67118646415237</v>
      </c>
      <c r="EC78" s="21">
        <f>EXP(-LN(2)/2)*EC77+(1-EXP(-LN(2)/2))/(LN(2)/2)*DW78*DZ78*VLOOKUP('Données projet'!$B$14,Paramètres!$A$1:$I$89,3,0)*0.475*44/12</f>
        <v>0.32775257514543932</v>
      </c>
      <c r="ED78" s="22">
        <f t="shared" si="72"/>
        <v>58.276391012704295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2.2737367544323206E-13</v>
      </c>
      <c r="EK78" s="17">
        <f>EJ78*VLOOKUP('Données projet'!$B$15,Paramètres!$A$1:$I$89,3,0)*VLOOKUP('Données projet'!$B$15,Paramètres!$A$1:$I$89,5,0)</f>
        <v>1.2710188457276673E-13</v>
      </c>
      <c r="EL78" s="13">
        <f t="shared" si="99"/>
        <v>1.856866851063998E-12</v>
      </c>
      <c r="EM78" s="20">
        <f t="shared" si="73"/>
        <v>3.4554122145673649E-12</v>
      </c>
      <c r="EN78" s="59">
        <f t="shared" si="74"/>
        <v>293.33333333333678</v>
      </c>
      <c r="EO78" s="59">
        <f ca="1">AVERAGE(OFFSET($EN$3,0,0,'Données projet'!$E$15+1,1))-AVERAGE(OFFSET($H$3,0,0,'Données projet'!$E$15+1,1))</f>
        <v>313.36787814924116</v>
      </c>
      <c r="EP78" s="59">
        <f t="shared" si="100"/>
        <v>438.72984487610216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180.25774516392926</v>
      </c>
      <c r="EW78" s="21">
        <f>EXP(-LN(2)/25)*EW77+(1-EXP(-LN(2)/25))/(LN(2)/25)*Calculateur!ER78*Calculateur!ET78*VLOOKUP('Données projet'!$B$15,Paramètres!$A$1:$I$89,3,0)*0.475*44/12</f>
        <v>31.231666771138727</v>
      </c>
      <c r="EX78" s="21">
        <f>EXP(-LN(2)/2)*EX77+(1-EXP(-LN(2)/2))/(LN(2)/2)*ER78*EU78*VLOOKUP('Données projet'!$B$15,Paramètres!$A$1:$I$89,3,0)*0.475*44/12</f>
        <v>6.5477374964886094E-3</v>
      </c>
      <c r="EY78" s="22">
        <f t="shared" si="75"/>
        <v>211.49595967256445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4.5999999999999996</v>
      </c>
      <c r="N79" s="13">
        <f>IF('Données projet'!$A$36&gt;35,N78+M79-V78,IF(A79&lt;'Données projet'!$A$36,$K$205^A79,IF(A79='Données projet'!$A$36,'Données projet'!$B$36,N78+M79-V78)))</f>
        <v>173.6</v>
      </c>
      <c r="O79" s="13">
        <f>N79*VLOOKUP('Données projet'!$B$9,Paramètres!$A$1:$I$89,3,0)*VLOOKUP('Données projet'!$B$9,Paramètres!$A$1:$I$89,5,0)</f>
        <v>157.07327999999998</v>
      </c>
      <c r="P79" s="13">
        <f t="shared" si="87"/>
        <v>40.181677940049241</v>
      </c>
      <c r="Q79" s="20">
        <f t="shared" si="54"/>
        <v>343.55238507891909</v>
      </c>
      <c r="R79" s="59">
        <f t="shared" si="55"/>
        <v>636.88571841225234</v>
      </c>
      <c r="S79" s="59">
        <f ca="1">AVERAGE(OFFSET($R$3,0,0,'Données projet'!$E$9+1,1))-AVERAGE(OFFSET($H$3,0,0,'Données projet'!$E$9+1,1))</f>
        <v>173.91998182168385</v>
      </c>
      <c r="T79" s="59">
        <f t="shared" si="88"/>
        <v>72.011647893875363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11.496796351610195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11.496796351610195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4.5999999999999996</v>
      </c>
      <c r="AI79" s="13">
        <f>IF('Données projet'!$A$62&gt;35,AI78+AH79-AQ78,IF(A79&lt;'Données projet'!$A$62,$AF$205^A79,IF(A79='Données projet'!$A$62,'Données projet'!$B$62,AI78+AH79-AQ78)))</f>
        <v>173.6</v>
      </c>
      <c r="AJ79" s="13">
        <f>AI79*VLOOKUP('Données projet'!$B$10,Paramètres!$A$1:$I$89,3,0)*VLOOKUP('Données projet'!$B$10,Paramètres!$A$1:$I$89,5,0)</f>
        <v>186.86303999999998</v>
      </c>
      <c r="AK79" s="13">
        <f t="shared" si="89"/>
        <v>46.845744983534466</v>
      </c>
      <c r="AL79" s="20">
        <f t="shared" si="58"/>
        <v>407.04280051298912</v>
      </c>
      <c r="AM79" s="59">
        <f t="shared" si="59"/>
        <v>700.37613384632243</v>
      </c>
      <c r="AN79" s="59">
        <f ca="1">AVERAGE(OFFSET($AM$3,0,0,'Données projet'!$E$10+1,1))-AVERAGE(OFFSET($H$3,0,0,'Données projet'!$E$10+1,1))</f>
        <v>150.9416300233616</v>
      </c>
      <c r="AO79" s="59">
        <f t="shared" si="90"/>
        <v>92.286636088269972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21.896678187761268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21.896678187761268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4.5999999999999996</v>
      </c>
      <c r="BD79" s="12">
        <f>IF('Données projet'!$A$88&gt;35,BD78+BC79-BL78,IF(A79&lt;'Données projet'!$A$88,$BA$205^A79,IF(A79='Données projet'!$A$88,'Données projet'!$B$88,BD78+BC79-BL78)))</f>
        <v>173.6</v>
      </c>
      <c r="BE79" s="13">
        <f>BD79*VLOOKUP('Données projet'!$B$11,Paramètres!$A$1:$I$89,3,0)*VLOOKUP('Données projet'!$B$11,Paramètres!$A$1:$I$89,5,0)</f>
        <v>167.90591999999998</v>
      </c>
      <c r="BF79" s="13">
        <f t="shared" si="91"/>
        <v>42.620681538886721</v>
      </c>
      <c r="BG79" s="20">
        <f t="shared" si="61"/>
        <v>366.66716434689437</v>
      </c>
      <c r="BH79" s="59">
        <f t="shared" si="62"/>
        <v>660.00049768022768</v>
      </c>
      <c r="BI79" s="59">
        <f ca="1">AVERAGE(OFFSET($BH$3,0,0,'Données projet'!$E$11+1,1))-AVERAGE(OFFSET($H$3,0,0,'Données projet'!$E$11+1,1))</f>
        <v>131.02416800340484</v>
      </c>
      <c r="BJ79" s="59">
        <f t="shared" si="92"/>
        <v>79.394119001888555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19.675276052770993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19.675276052770993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4.5999999999999996</v>
      </c>
      <c r="BY79" s="12">
        <f>IF('Données projet'!$A$114&gt;35,BY78+BX79-CG78,IF(A79&lt;'Données projet'!$A$114,$BV$205^A79,IF(A79='Données projet'!$A$114,'Données projet'!$B$114,BY78+BX79-CG78)))</f>
        <v>173.6</v>
      </c>
      <c r="BZ79" s="13">
        <f>BY79*VLOOKUP('Données projet'!$B$12,Paramètres!$A$1:$I$89,3,0)*VLOOKUP('Données projet'!$B$12,Paramètres!$A$1:$I$89,5,0)</f>
        <v>157.07327999999998</v>
      </c>
      <c r="CA79" s="13">
        <f t="shared" si="93"/>
        <v>40.181677940049241</v>
      </c>
      <c r="CB79" s="20">
        <f t="shared" si="64"/>
        <v>343.55238507891909</v>
      </c>
      <c r="CC79" s="59">
        <f t="shared" si="65"/>
        <v>636.88571841225234</v>
      </c>
      <c r="CD79" s="59">
        <f ca="1">AVERAGE(OFFSET($CC$3,0,0,'Données projet'!$E$12+1,1))-AVERAGE(OFFSET($H$3,0,0,'Données projet'!$E$12+1,1))</f>
        <v>119.62076457560073</v>
      </c>
      <c r="CE79" s="59">
        <f t="shared" si="94"/>
        <v>72.011647893875363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18.40590340420512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18.40590340420512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4.5999999999999996</v>
      </c>
      <c r="CT79" s="12">
        <f>IF('Données projet'!$A$140&gt;35,CT78+CS79-DB78,IF(A79&lt;'Données projet'!$A$140,$CQ$205^A79,IF(A79='Données projet'!$A$140,'Données projet'!$B$140,CT78+CS79-DB78)))</f>
        <v>173.6</v>
      </c>
      <c r="CU79" s="17">
        <f>CT79*VLOOKUP('Données projet'!$B$13,Paramètres!$A$1:$I$89,3,0)*VLOOKUP('Données projet'!$B$13,Paramètres!$A$1:$I$89,5,0)</f>
        <v>186.86303999999998</v>
      </c>
      <c r="CV79" s="13">
        <f t="shared" si="95"/>
        <v>46.845744983534466</v>
      </c>
      <c r="CW79" s="20">
        <f t="shared" si="67"/>
        <v>407.04280051298912</v>
      </c>
      <c r="CX79" s="59">
        <f t="shared" si="68"/>
        <v>700.37613384632243</v>
      </c>
      <c r="CY79" s="59">
        <f ca="1">AVERAGE(OFFSET($CX$3,0,0,'Données projet'!$E$13+1,1))-AVERAGE(OFFSET($H$3,0,0,'Données projet'!$E$13+1,1))</f>
        <v>150.9416300233616</v>
      </c>
      <c r="CZ79" s="59">
        <f t="shared" si="96"/>
        <v>92.286636088269972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21.896678187761268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21.896678187761268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439.99999999999943</v>
      </c>
      <c r="DP79" s="17">
        <f>DO79*VLOOKUP('Données projet'!$B$14,Paramètres!$A$1:$I$89,3,0)*VLOOKUP('Données projet'!$B$14,Paramètres!$A$1:$I$89,5,0)</f>
        <v>263.11999999999966</v>
      </c>
      <c r="DQ79" s="13">
        <f t="shared" si="97"/>
        <v>63.386973458751953</v>
      </c>
      <c r="DR79" s="20">
        <f t="shared" si="70"/>
        <v>568.66631210732578</v>
      </c>
      <c r="DS79" s="59">
        <f t="shared" si="71"/>
        <v>861.99964544065915</v>
      </c>
      <c r="DT79" s="59">
        <f ca="1">AVERAGE(OFFSET($DS$3,0,0,'Données projet'!$E$14+1,1))-AVERAGE(OFFSET($H$3,0,0,'Données projet'!$E$14+1,1))</f>
        <v>249.22792522076639</v>
      </c>
      <c r="DU79" s="59">
        <f t="shared" si="98"/>
        <v>244.53725944480669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42.428807536847238</v>
      </c>
      <c r="EB79" s="21">
        <f>EXP(-LN(2)/25)*EB78+(1-EXP(-LN(2)/25))/(LN(2)/25)*Calculateur!DW79*Calculateur!DY79*VLOOKUP('Données projet'!$B$14,Paramètres!$A$1:$I$89,3,0)*0.475*44/12</f>
        <v>14.270002098765959</v>
      </c>
      <c r="EC79" s="21">
        <f>EXP(-LN(2)/2)*EC78+(1-EXP(-LN(2)/2))/(LN(2)/2)*DW79*DZ79*VLOOKUP('Données projet'!$B$14,Paramètres!$A$1:$I$89,3,0)*0.475*44/12</f>
        <v>0.23175606843669366</v>
      </c>
      <c r="ED79" s="22">
        <f t="shared" si="72"/>
        <v>56.93056570404989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2.2737367544323206E-13</v>
      </c>
      <c r="EK79" s="17">
        <f>EJ79*VLOOKUP('Données projet'!$B$15,Paramètres!$A$1:$I$89,3,0)*VLOOKUP('Données projet'!$B$15,Paramètres!$A$1:$I$89,5,0)</f>
        <v>1.2710188457276673E-13</v>
      </c>
      <c r="EL79" s="13">
        <f t="shared" si="99"/>
        <v>1.856866851063998E-12</v>
      </c>
      <c r="EM79" s="20">
        <f t="shared" si="73"/>
        <v>3.4554122145673649E-12</v>
      </c>
      <c r="EN79" s="59">
        <f t="shared" si="74"/>
        <v>293.33333333333678</v>
      </c>
      <c r="EO79" s="59">
        <f ca="1">AVERAGE(OFFSET($EN$3,0,0,'Données projet'!$E$15+1,1))-AVERAGE(OFFSET($H$3,0,0,'Données projet'!$E$15+1,1))</f>
        <v>313.36787814924116</v>
      </c>
      <c r="EP79" s="59">
        <f t="shared" si="100"/>
        <v>438.72984487610216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176.72300072763286</v>
      </c>
      <c r="EW79" s="21">
        <f>EXP(-LN(2)/25)*EW78+(1-EXP(-LN(2)/25))/(LN(2)/25)*Calculateur!ER79*Calculateur!ET79*VLOOKUP('Données projet'!$B$15,Paramètres!$A$1:$I$89,3,0)*0.475*44/12</f>
        <v>30.377635200879965</v>
      </c>
      <c r="EX79" s="21">
        <f>EXP(-LN(2)/2)*EX78+(1-EXP(-LN(2)/2))/(LN(2)/2)*ER79*EU79*VLOOKUP('Données projet'!$B$15,Paramètres!$A$1:$I$89,3,0)*0.475*44/12</f>
        <v>4.6299495851965236E-3</v>
      </c>
      <c r="EY79" s="22">
        <f t="shared" si="75"/>
        <v>207.10526587809801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4.5999999999999996</v>
      </c>
      <c r="N80" s="13">
        <f>IF('Données projet'!$A$36&gt;35,N79+M80-V79,IF(A80&lt;'Données projet'!$A$36,$K$205^A80,IF(A80='Données projet'!$A$36,'Données projet'!$B$36,N79+M80-V79)))</f>
        <v>178.2</v>
      </c>
      <c r="O80" s="13">
        <f>N80*VLOOKUP('Données projet'!$B$9,Paramètres!$A$1:$I$89,3,0)*VLOOKUP('Données projet'!$B$9,Paramètres!$A$1:$I$89,5,0)</f>
        <v>161.23535999999999</v>
      </c>
      <c r="P80" s="13">
        <f t="shared" si="87"/>
        <v>41.121029451505414</v>
      </c>
      <c r="Q80" s="20">
        <f t="shared" si="54"/>
        <v>352.43737829470524</v>
      </c>
      <c r="R80" s="59">
        <f t="shared" si="55"/>
        <v>645.7707116280385</v>
      </c>
      <c r="S80" s="59">
        <f ca="1">AVERAGE(OFFSET($R$3,0,0,'Données projet'!$E$9+1,1))-AVERAGE(OFFSET($H$3,0,0,'Données projet'!$E$9+1,1))</f>
        <v>173.91998182168385</v>
      </c>
      <c r="T80" s="59">
        <f t="shared" si="88"/>
        <v>72.011647893875363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11.271351187508481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11.271351187508481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4.5999999999999996</v>
      </c>
      <c r="AI80" s="13">
        <f>IF('Données projet'!$A$62&gt;35,AI79+AH80-AQ79,IF(A80&lt;'Données projet'!$A$62,$AF$205^A80,IF(A80='Données projet'!$A$62,'Données projet'!$B$62,AI79+AH80-AQ79)))</f>
        <v>178.2</v>
      </c>
      <c r="AJ80" s="13">
        <f>AI80*VLOOKUP('Données projet'!$B$10,Paramètres!$A$1:$I$89,3,0)*VLOOKUP('Données projet'!$B$10,Paramètres!$A$1:$I$89,5,0)</f>
        <v>191.81447999999997</v>
      </c>
      <c r="AK80" s="13">
        <f t="shared" si="89"/>
        <v>47.940886441320977</v>
      </c>
      <c r="AL80" s="20">
        <f t="shared" si="58"/>
        <v>417.57392988530063</v>
      </c>
      <c r="AM80" s="59">
        <f t="shared" si="59"/>
        <v>710.90726321863394</v>
      </c>
      <c r="AN80" s="59">
        <f ca="1">AVERAGE(OFFSET($AM$3,0,0,'Données projet'!$E$10+1,1))-AVERAGE(OFFSET($H$3,0,0,'Données projet'!$E$10+1,1))</f>
        <v>150.9416300233616</v>
      </c>
      <c r="AO80" s="59">
        <f t="shared" si="90"/>
        <v>92.286636088269972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21.467297684154204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21.467297684154204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4.5999999999999996</v>
      </c>
      <c r="BD80" s="12">
        <f>IF('Données projet'!$A$88&gt;35,BD79+BC80-BL79,IF(A80&lt;'Données projet'!$A$88,$BA$205^A80,IF(A80='Données projet'!$A$88,'Données projet'!$B$88,BD79+BC80-BL79)))</f>
        <v>178.2</v>
      </c>
      <c r="BE80" s="13">
        <f>BD80*VLOOKUP('Données projet'!$B$11,Paramètres!$A$1:$I$89,3,0)*VLOOKUP('Données projet'!$B$11,Paramètres!$A$1:$I$89,5,0)</f>
        <v>172.35504</v>
      </c>
      <c r="BF80" s="13">
        <f t="shared" si="91"/>
        <v>43.617051120131691</v>
      </c>
      <c r="BG80" s="20">
        <f t="shared" si="61"/>
        <v>376.15139203422933</v>
      </c>
      <c r="BH80" s="59">
        <f t="shared" si="62"/>
        <v>669.48472536756265</v>
      </c>
      <c r="BI80" s="59">
        <f ca="1">AVERAGE(OFFSET($BH$3,0,0,'Données projet'!$E$11+1,1))-AVERAGE(OFFSET($H$3,0,0,'Données projet'!$E$11+1,1))</f>
        <v>131.02416800340484</v>
      </c>
      <c r="BJ80" s="59">
        <f t="shared" si="92"/>
        <v>79.394119001888555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19.289455890109572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19.289455890109572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4.5999999999999996</v>
      </c>
      <c r="BY80" s="12">
        <f>IF('Données projet'!$A$114&gt;35,BY79+BX80-CG79,IF(A80&lt;'Données projet'!$A$114,$BV$205^A80,IF(A80='Données projet'!$A$114,'Données projet'!$B$114,BY79+BX80-CG79)))</f>
        <v>178.2</v>
      </c>
      <c r="BZ80" s="13">
        <f>BY80*VLOOKUP('Données projet'!$B$12,Paramètres!$A$1:$I$89,3,0)*VLOOKUP('Données projet'!$B$12,Paramètres!$A$1:$I$89,5,0)</f>
        <v>161.23535999999999</v>
      </c>
      <c r="CA80" s="13">
        <f t="shared" si="93"/>
        <v>41.121029451505414</v>
      </c>
      <c r="CB80" s="20">
        <f t="shared" si="64"/>
        <v>352.43737829470524</v>
      </c>
      <c r="CC80" s="59">
        <f t="shared" si="65"/>
        <v>645.7707116280385</v>
      </c>
      <c r="CD80" s="59">
        <f ca="1">AVERAGE(OFFSET($CC$3,0,0,'Données projet'!$E$12+1,1))-AVERAGE(OFFSET($H$3,0,0,'Données projet'!$E$12+1,1))</f>
        <v>119.62076457560073</v>
      </c>
      <c r="CE80" s="59">
        <f t="shared" si="94"/>
        <v>72.011647893875363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18.04497486494121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18.04497486494121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4.5999999999999996</v>
      </c>
      <c r="CT80" s="12">
        <f>IF('Données projet'!$A$140&gt;35,CT79+CS80-DB79,IF(A80&lt;'Données projet'!$A$140,$CQ$205^A80,IF(A80='Données projet'!$A$140,'Données projet'!$B$140,CT79+CS80-DB79)))</f>
        <v>178.2</v>
      </c>
      <c r="CU80" s="17">
        <f>CT80*VLOOKUP('Données projet'!$B$13,Paramètres!$A$1:$I$89,3,0)*VLOOKUP('Données projet'!$B$13,Paramètres!$A$1:$I$89,5,0)</f>
        <v>191.81447999999997</v>
      </c>
      <c r="CV80" s="13">
        <f t="shared" si="95"/>
        <v>47.940886441320977</v>
      </c>
      <c r="CW80" s="20">
        <f t="shared" si="67"/>
        <v>417.57392988530063</v>
      </c>
      <c r="CX80" s="59">
        <f t="shared" si="68"/>
        <v>710.90726321863394</v>
      </c>
      <c r="CY80" s="59">
        <f ca="1">AVERAGE(OFFSET($CX$3,0,0,'Données projet'!$E$13+1,1))-AVERAGE(OFFSET($H$3,0,0,'Données projet'!$E$13+1,1))</f>
        <v>150.9416300233616</v>
      </c>
      <c r="CZ80" s="59">
        <f t="shared" si="96"/>
        <v>92.286636088269972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21.467297684154204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21.467297684154204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439.99999999999943</v>
      </c>
      <c r="DP80" s="17">
        <f>DO80*VLOOKUP('Données projet'!$B$14,Paramètres!$A$1:$I$89,3,0)*VLOOKUP('Données projet'!$B$14,Paramètres!$A$1:$I$89,5,0)</f>
        <v>263.11999999999966</v>
      </c>
      <c r="DQ80" s="13">
        <f t="shared" si="97"/>
        <v>63.386973458751953</v>
      </c>
      <c r="DR80" s="20">
        <f t="shared" si="70"/>
        <v>568.66631210732578</v>
      </c>
      <c r="DS80" s="59">
        <f t="shared" si="71"/>
        <v>861.99964544065915</v>
      </c>
      <c r="DT80" s="59">
        <f ca="1">AVERAGE(OFFSET($DS$3,0,0,'Données projet'!$E$14+1,1))-AVERAGE(OFFSET($H$3,0,0,'Données projet'!$E$14+1,1))</f>
        <v>249.22792522076639</v>
      </c>
      <c r="DU80" s="59">
        <f t="shared" si="98"/>
        <v>244.53725944480669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41.596804500066924</v>
      </c>
      <c r="EB80" s="21">
        <f>EXP(-LN(2)/25)*EB79+(1-EXP(-LN(2)/25))/(LN(2)/25)*Calculateur!DW80*Calculateur!DY80*VLOOKUP('Données projet'!$B$14,Paramètres!$A$1:$I$89,3,0)*0.475*44/12</f>
        <v>13.879788140948408</v>
      </c>
      <c r="EC80" s="21">
        <f>EXP(-LN(2)/2)*EC79+(1-EXP(-LN(2)/2))/(LN(2)/2)*DW80*DZ80*VLOOKUP('Données projet'!$B$14,Paramètres!$A$1:$I$89,3,0)*0.475*44/12</f>
        <v>0.16387628757271969</v>
      </c>
      <c r="ED80" s="22">
        <f t="shared" si="72"/>
        <v>55.640468928588049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2.2737367544323206E-13</v>
      </c>
      <c r="EK80" s="17">
        <f>EJ80*VLOOKUP('Données projet'!$B$15,Paramètres!$A$1:$I$89,3,0)*VLOOKUP('Données projet'!$B$15,Paramètres!$A$1:$I$89,5,0)</f>
        <v>1.2710188457276673E-13</v>
      </c>
      <c r="EL80" s="13">
        <f t="shared" si="99"/>
        <v>1.856866851063998E-12</v>
      </c>
      <c r="EM80" s="20">
        <f t="shared" si="73"/>
        <v>3.4554122145673649E-12</v>
      </c>
      <c r="EN80" s="59">
        <f t="shared" si="74"/>
        <v>293.33333333333678</v>
      </c>
      <c r="EO80" s="59">
        <f ca="1">AVERAGE(OFFSET($EN$3,0,0,'Données projet'!$E$15+1,1))-AVERAGE(OFFSET($H$3,0,0,'Données projet'!$E$15+1,1))</f>
        <v>313.36787814924116</v>
      </c>
      <c r="EP80" s="59">
        <f t="shared" si="100"/>
        <v>438.72984487610216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173.257570473751</v>
      </c>
      <c r="EW80" s="21">
        <f>EXP(-LN(2)/25)*EW79+(1-EXP(-LN(2)/25))/(LN(2)/25)*Calculateur!ER80*Calculateur!ET80*VLOOKUP('Données projet'!$B$15,Paramètres!$A$1:$I$89,3,0)*0.475*44/12</f>
        <v>29.546957168821496</v>
      </c>
      <c r="EX80" s="21">
        <f>EXP(-LN(2)/2)*EX79+(1-EXP(-LN(2)/2))/(LN(2)/2)*ER80*EU80*VLOOKUP('Données projet'!$B$15,Paramètres!$A$1:$I$89,3,0)*0.475*44/12</f>
        <v>3.2738687482443047E-3</v>
      </c>
      <c r="EY80" s="22">
        <f t="shared" si="75"/>
        <v>202.80780151132075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4.5999999999999996</v>
      </c>
      <c r="N81" s="13">
        <f>IF('Données projet'!$A$36&gt;35,N80+M81-V80,IF(A81&lt;'Données projet'!$A$36,$K$205^A81,IF(A81='Données projet'!$A$36,'Données projet'!$B$36,N80+M81-V80)))</f>
        <v>182.79999999999998</v>
      </c>
      <c r="O81" s="13">
        <f>N81*VLOOKUP('Données projet'!$B$9,Paramètres!$A$1:$I$89,3,0)*VLOOKUP('Données projet'!$B$9,Paramètres!$A$1:$I$89,5,0)</f>
        <v>165.39743999999999</v>
      </c>
      <c r="P81" s="13">
        <f t="shared" si="87"/>
        <v>42.057562385840804</v>
      </c>
      <c r="Q81" s="20">
        <f t="shared" si="54"/>
        <v>361.31746248867267</v>
      </c>
      <c r="R81" s="59">
        <f t="shared" si="55"/>
        <v>654.65079582200599</v>
      </c>
      <c r="S81" s="59">
        <f ca="1">AVERAGE(OFFSET($R$3,0,0,'Données projet'!$E$9+1,1))-AVERAGE(OFFSET($H$3,0,0,'Données projet'!$E$9+1,1))</f>
        <v>173.91998182168385</v>
      </c>
      <c r="T81" s="59">
        <f t="shared" si="88"/>
        <v>72.011647893875363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11.050326865566829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11.050326865566829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4.5999999999999996</v>
      </c>
      <c r="AI81" s="13">
        <f>IF('Données projet'!$A$62&gt;35,AI80+AH81-AQ80,IF(A81&lt;'Données projet'!$A$62,$AF$205^A81,IF(A81='Données projet'!$A$62,'Données projet'!$B$62,AI80+AH81-AQ80)))</f>
        <v>182.79999999999998</v>
      </c>
      <c r="AJ81" s="13">
        <f>AI81*VLOOKUP('Données projet'!$B$10,Paramètres!$A$1:$I$89,3,0)*VLOOKUP('Données projet'!$B$10,Paramètres!$A$1:$I$89,5,0)</f>
        <v>196.76591999999997</v>
      </c>
      <c r="AK81" s="13">
        <f t="shared" si="89"/>
        <v>49.03274186547759</v>
      </c>
      <c r="AL81" s="20">
        <f t="shared" si="58"/>
        <v>428.09933608237338</v>
      </c>
      <c r="AM81" s="59">
        <f t="shared" si="59"/>
        <v>721.43266941570664</v>
      </c>
      <c r="AN81" s="59">
        <f ca="1">AVERAGE(OFFSET($AM$3,0,0,'Données projet'!$E$10+1,1))-AVERAGE(OFFSET($H$3,0,0,'Données projet'!$E$10+1,1))</f>
        <v>150.9416300233616</v>
      </c>
      <c r="AO81" s="59">
        <f t="shared" si="90"/>
        <v>92.286636088269972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21.046337070326626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21.046337070326626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4.5999999999999996</v>
      </c>
      <c r="BD81" s="12">
        <f>IF('Données projet'!$A$88&gt;35,BD80+BC81-BL80,IF(A81&lt;'Données projet'!$A$88,$BA$205^A81,IF(A81='Données projet'!$A$88,'Données projet'!$B$88,BD80+BC81-BL80)))</f>
        <v>182.79999999999998</v>
      </c>
      <c r="BE81" s="13">
        <f>BD81*VLOOKUP('Données projet'!$B$11,Paramètres!$A$1:$I$89,3,0)*VLOOKUP('Données projet'!$B$11,Paramètres!$A$1:$I$89,5,0)</f>
        <v>176.80415999999997</v>
      </c>
      <c r="BF81" s="13">
        <f t="shared" si="91"/>
        <v>44.610431038325757</v>
      </c>
      <c r="BG81" s="20">
        <f t="shared" si="61"/>
        <v>385.630412725084</v>
      </c>
      <c r="BH81" s="59">
        <f t="shared" si="62"/>
        <v>678.96374605841731</v>
      </c>
      <c r="BI81" s="59">
        <f ca="1">AVERAGE(OFFSET($BH$3,0,0,'Données projet'!$E$11+1,1))-AVERAGE(OFFSET($H$3,0,0,'Données projet'!$E$11+1,1))</f>
        <v>131.02416800340484</v>
      </c>
      <c r="BJ81" s="59">
        <f t="shared" si="92"/>
        <v>79.394119001888555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18.911201425510878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18.911201425510878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4.5999999999999996</v>
      </c>
      <c r="BY81" s="12">
        <f>IF('Données projet'!$A$114&gt;35,BY80+BX81-CG80,IF(A81&lt;'Données projet'!$A$114,$BV$205^A81,IF(A81='Données projet'!$A$114,'Données projet'!$B$114,BY80+BX81-CG80)))</f>
        <v>182.79999999999998</v>
      </c>
      <c r="BZ81" s="13">
        <f>BY81*VLOOKUP('Données projet'!$B$12,Paramètres!$A$1:$I$89,3,0)*VLOOKUP('Données projet'!$B$12,Paramètres!$A$1:$I$89,5,0)</f>
        <v>165.39743999999999</v>
      </c>
      <c r="CA81" s="13">
        <f t="shared" si="93"/>
        <v>42.057562385840804</v>
      </c>
      <c r="CB81" s="20">
        <f t="shared" si="64"/>
        <v>361.31746248867267</v>
      </c>
      <c r="CC81" s="59">
        <f t="shared" si="65"/>
        <v>654.65079582200599</v>
      </c>
      <c r="CD81" s="59">
        <f ca="1">AVERAGE(OFFSET($CC$3,0,0,'Données projet'!$E$12+1,1))-AVERAGE(OFFSET($H$3,0,0,'Données projet'!$E$12+1,1))</f>
        <v>119.62076457560073</v>
      </c>
      <c r="CE81" s="59">
        <f t="shared" si="94"/>
        <v>72.011647893875363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17.691123914187592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17.691123914187592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4.5999999999999996</v>
      </c>
      <c r="CT81" s="12">
        <f>IF('Données projet'!$A$140&gt;35,CT80+CS81-DB80,IF(A81&lt;'Données projet'!$A$140,$CQ$205^A81,IF(A81='Données projet'!$A$140,'Données projet'!$B$140,CT80+CS81-DB80)))</f>
        <v>182.79999999999998</v>
      </c>
      <c r="CU81" s="17">
        <f>CT81*VLOOKUP('Données projet'!$B$13,Paramètres!$A$1:$I$89,3,0)*VLOOKUP('Données projet'!$B$13,Paramètres!$A$1:$I$89,5,0)</f>
        <v>196.76591999999997</v>
      </c>
      <c r="CV81" s="13">
        <f t="shared" si="95"/>
        <v>49.03274186547759</v>
      </c>
      <c r="CW81" s="20">
        <f t="shared" si="67"/>
        <v>428.09933608237338</v>
      </c>
      <c r="CX81" s="59">
        <f t="shared" si="68"/>
        <v>721.43266941570664</v>
      </c>
      <c r="CY81" s="59">
        <f ca="1">AVERAGE(OFFSET($CX$3,0,0,'Données projet'!$E$13+1,1))-AVERAGE(OFFSET($H$3,0,0,'Données projet'!$E$13+1,1))</f>
        <v>150.9416300233616</v>
      </c>
      <c r="CZ81" s="59">
        <f t="shared" si="96"/>
        <v>92.286636088269972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21.046337070326626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21.046337070326626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439.99999999999943</v>
      </c>
      <c r="DP81" s="17">
        <f>DO81*VLOOKUP('Données projet'!$B$14,Paramètres!$A$1:$I$89,3,0)*VLOOKUP('Données projet'!$B$14,Paramètres!$A$1:$I$89,5,0)</f>
        <v>263.11999999999966</v>
      </c>
      <c r="DQ81" s="13">
        <f t="shared" si="97"/>
        <v>63.386973458751953</v>
      </c>
      <c r="DR81" s="20">
        <f t="shared" si="70"/>
        <v>568.66631210732578</v>
      </c>
      <c r="DS81" s="59">
        <f t="shared" si="71"/>
        <v>861.99964544065915</v>
      </c>
      <c r="DT81" s="59">
        <f ca="1">AVERAGE(OFFSET($DS$3,0,0,'Données projet'!$E$14+1,1))-AVERAGE(OFFSET($H$3,0,0,'Données projet'!$E$14+1,1))</f>
        <v>249.22792522076639</v>
      </c>
      <c r="DU81" s="59">
        <f t="shared" si="98"/>
        <v>244.53725944480669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40.781116535366124</v>
      </c>
      <c r="EB81" s="21">
        <f>EXP(-LN(2)/25)*EB80+(1-EXP(-LN(2)/25))/(LN(2)/25)*Calculateur!DW81*Calculateur!DY81*VLOOKUP('Données projet'!$B$14,Paramètres!$A$1:$I$89,3,0)*0.475*44/12</f>
        <v>13.500244604327838</v>
      </c>
      <c r="EC81" s="21">
        <f>EXP(-LN(2)/2)*EC80+(1-EXP(-LN(2)/2))/(LN(2)/2)*DW81*DZ81*VLOOKUP('Données projet'!$B$14,Paramètres!$A$1:$I$89,3,0)*0.475*44/12</f>
        <v>0.11587803421834685</v>
      </c>
      <c r="ED81" s="22">
        <f t="shared" si="72"/>
        <v>54.397239173912311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2.2737367544323206E-13</v>
      </c>
      <c r="EK81" s="17">
        <f>EJ81*VLOOKUP('Données projet'!$B$15,Paramètres!$A$1:$I$89,3,0)*VLOOKUP('Données projet'!$B$15,Paramètres!$A$1:$I$89,5,0)</f>
        <v>1.2710188457276673E-13</v>
      </c>
      <c r="EL81" s="13">
        <f t="shared" si="99"/>
        <v>1.856866851063998E-12</v>
      </c>
      <c r="EM81" s="20">
        <f t="shared" si="73"/>
        <v>3.4554122145673649E-12</v>
      </c>
      <c r="EN81" s="59">
        <f t="shared" si="74"/>
        <v>293.33333333333678</v>
      </c>
      <c r="EO81" s="59">
        <f ca="1">AVERAGE(OFFSET($EN$3,0,0,'Données projet'!$E$15+1,1))-AVERAGE(OFFSET($H$3,0,0,'Données projet'!$E$15+1,1))</f>
        <v>313.36787814924116</v>
      </c>
      <c r="EP81" s="59">
        <f t="shared" si="100"/>
        <v>438.72984487610216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169.86009519344404</v>
      </c>
      <c r="EW81" s="21">
        <f>EXP(-LN(2)/25)*EW80+(1-EXP(-LN(2)/25))/(LN(2)/25)*Calculateur!ER81*Calculateur!ET81*VLOOKUP('Données projet'!$B$15,Paramètres!$A$1:$I$89,3,0)*0.475*44/12</f>
        <v>28.738994071233126</v>
      </c>
      <c r="EX81" s="21">
        <f>EXP(-LN(2)/2)*EX80+(1-EXP(-LN(2)/2))/(LN(2)/2)*ER81*EU81*VLOOKUP('Données projet'!$B$15,Paramètres!$A$1:$I$89,3,0)*0.475*44/12</f>
        <v>2.3149747925982618E-3</v>
      </c>
      <c r="EY81" s="22">
        <f t="shared" si="75"/>
        <v>198.60140423946976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4.5999999999999996</v>
      </c>
      <c r="N82" s="13">
        <f>IF('Données projet'!$A$36&gt;35,N81+M82-V81,IF(A82&lt;'Données projet'!$A$36,$K$205^A82,IF(A82='Données projet'!$A$36,'Données projet'!$B$36,N81+M82-V81)))</f>
        <v>187.39999999999998</v>
      </c>
      <c r="O82" s="13">
        <f>N82*VLOOKUP('Données projet'!$B$9,Paramètres!$A$1:$I$89,3,0)*VLOOKUP('Données projet'!$B$9,Paramètres!$A$1:$I$89,5,0)</f>
        <v>169.55951999999996</v>
      </c>
      <c r="P82" s="13">
        <f t="shared" si="87"/>
        <v>42.991355826984922</v>
      </c>
      <c r="Q82" s="20">
        <f t="shared" si="54"/>
        <v>370.19277539866533</v>
      </c>
      <c r="R82" s="59">
        <f t="shared" si="55"/>
        <v>663.52610873199865</v>
      </c>
      <c r="S82" s="59">
        <f ca="1">AVERAGE(OFFSET($R$3,0,0,'Données projet'!$E$9+1,1))-AVERAGE(OFFSET($H$3,0,0,'Données projet'!$E$9+1,1))</f>
        <v>173.91998182168385</v>
      </c>
      <c r="T82" s="59">
        <f t="shared" si="88"/>
        <v>72.011647893875363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10.833636695766929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10.833636695766929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4.5999999999999996</v>
      </c>
      <c r="AI82" s="13">
        <f>IF('Données projet'!$A$62&gt;35,AI81+AH82-AQ81,IF(A82&lt;'Données projet'!$A$62,$AF$205^A82,IF(A82='Données projet'!$A$62,'Données projet'!$B$62,AI81+AH82-AQ81)))</f>
        <v>187.39999999999998</v>
      </c>
      <c r="AJ82" s="13">
        <f>AI82*VLOOKUP('Données projet'!$B$10,Paramètres!$A$1:$I$89,3,0)*VLOOKUP('Données projet'!$B$10,Paramètres!$A$1:$I$89,5,0)</f>
        <v>201.71735999999999</v>
      </c>
      <c r="AK82" s="13">
        <f t="shared" si="89"/>
        <v>50.121403455877136</v>
      </c>
      <c r="AL82" s="20">
        <f t="shared" si="58"/>
        <v>438.61917968565263</v>
      </c>
      <c r="AM82" s="59">
        <f t="shared" si="59"/>
        <v>731.95251301898588</v>
      </c>
      <c r="AN82" s="59">
        <f ca="1">AVERAGE(OFFSET($AM$3,0,0,'Données projet'!$E$10+1,1))-AVERAGE(OFFSET($H$3,0,0,'Données projet'!$E$10+1,1))</f>
        <v>150.9416300233616</v>
      </c>
      <c r="AO82" s="59">
        <f t="shared" si="90"/>
        <v>92.286636088269972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20.633631237375585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20.633631237375585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4.5999999999999996</v>
      </c>
      <c r="BD82" s="12">
        <f>IF('Données projet'!$A$88&gt;35,BD81+BC82-BL81,IF(A82&lt;'Données projet'!$A$88,$BA$205^A82,IF(A82='Données projet'!$A$88,'Données projet'!$B$88,BD81+BC82-BL81)))</f>
        <v>187.39999999999998</v>
      </c>
      <c r="BE82" s="13">
        <f>BD82*VLOOKUP('Données projet'!$B$11,Paramètres!$A$1:$I$89,3,0)*VLOOKUP('Données projet'!$B$11,Paramètres!$A$1:$I$89,5,0)</f>
        <v>181.25327999999999</v>
      </c>
      <c r="BF82" s="13">
        <f t="shared" si="91"/>
        <v>45.600905177745403</v>
      </c>
      <c r="BG82" s="20">
        <f t="shared" si="61"/>
        <v>395.10437251790654</v>
      </c>
      <c r="BH82" s="59">
        <f t="shared" si="62"/>
        <v>688.4377058512398</v>
      </c>
      <c r="BI82" s="59">
        <f ca="1">AVERAGE(OFFSET($BH$3,0,0,'Données projet'!$E$11+1,1))-AVERAGE(OFFSET($H$3,0,0,'Données projet'!$E$11+1,1))</f>
        <v>131.02416800340484</v>
      </c>
      <c r="BJ82" s="59">
        <f t="shared" si="92"/>
        <v>79.394119001888555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18.540364300250523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18.540364300250523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4.5999999999999996</v>
      </c>
      <c r="BY82" s="12">
        <f>IF('Données projet'!$A$114&gt;35,BY81+BX82-CG81,IF(A82&lt;'Données projet'!$A$114,$BV$205^A82,IF(A82='Données projet'!$A$114,'Données projet'!$B$114,BY81+BX82-CG81)))</f>
        <v>187.39999999999998</v>
      </c>
      <c r="BZ82" s="13">
        <f>BY82*VLOOKUP('Données projet'!$B$12,Paramètres!$A$1:$I$89,3,0)*VLOOKUP('Données projet'!$B$12,Paramètres!$A$1:$I$89,5,0)</f>
        <v>169.55951999999996</v>
      </c>
      <c r="CA82" s="13">
        <f t="shared" si="93"/>
        <v>42.991355826984922</v>
      </c>
      <c r="CB82" s="20">
        <f t="shared" si="64"/>
        <v>370.19277539866533</v>
      </c>
      <c r="CC82" s="59">
        <f t="shared" si="65"/>
        <v>663.52610873199865</v>
      </c>
      <c r="CD82" s="59">
        <f ca="1">AVERAGE(OFFSET($CC$3,0,0,'Données projet'!$E$12+1,1))-AVERAGE(OFFSET($H$3,0,0,'Données projet'!$E$12+1,1))</f>
        <v>119.62076457560073</v>
      </c>
      <c r="CE82" s="59">
        <f t="shared" si="94"/>
        <v>72.011647893875363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17.344211764750487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17.344211764750487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4.5999999999999996</v>
      </c>
      <c r="CT82" s="12">
        <f>IF('Données projet'!$A$140&gt;35,CT81+CS82-DB81,IF(A82&lt;'Données projet'!$A$140,$CQ$205^A82,IF(A82='Données projet'!$A$140,'Données projet'!$B$140,CT81+CS82-DB81)))</f>
        <v>187.39999999999998</v>
      </c>
      <c r="CU82" s="17">
        <f>CT82*VLOOKUP('Données projet'!$B$13,Paramètres!$A$1:$I$89,3,0)*VLOOKUP('Données projet'!$B$13,Paramètres!$A$1:$I$89,5,0)</f>
        <v>201.71735999999999</v>
      </c>
      <c r="CV82" s="13">
        <f t="shared" si="95"/>
        <v>50.121403455877136</v>
      </c>
      <c r="CW82" s="20">
        <f t="shared" si="67"/>
        <v>438.61917968565263</v>
      </c>
      <c r="CX82" s="59">
        <f t="shared" si="68"/>
        <v>731.95251301898588</v>
      </c>
      <c r="CY82" s="59">
        <f ca="1">AVERAGE(OFFSET($CX$3,0,0,'Données projet'!$E$13+1,1))-AVERAGE(OFFSET($H$3,0,0,'Données projet'!$E$13+1,1))</f>
        <v>150.9416300233616</v>
      </c>
      <c r="CZ82" s="59">
        <f t="shared" si="96"/>
        <v>92.286636088269972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20.633631237375585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20.633631237375585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439.99999999999943</v>
      </c>
      <c r="DP82" s="17">
        <f>DO82*VLOOKUP('Données projet'!$B$14,Paramètres!$A$1:$I$89,3,0)*VLOOKUP('Données projet'!$B$14,Paramètres!$A$1:$I$89,5,0)</f>
        <v>263.11999999999966</v>
      </c>
      <c r="DQ82" s="13">
        <f t="shared" si="97"/>
        <v>63.386973458751953</v>
      </c>
      <c r="DR82" s="20">
        <f t="shared" si="70"/>
        <v>568.66631210732578</v>
      </c>
      <c r="DS82" s="59">
        <f t="shared" si="71"/>
        <v>861.99964544065915</v>
      </c>
      <c r="DT82" s="59">
        <f ca="1">AVERAGE(OFFSET($DS$3,0,0,'Données projet'!$E$14+1,1))-AVERAGE(OFFSET($H$3,0,0,'Données projet'!$E$14+1,1))</f>
        <v>249.22792522076639</v>
      </c>
      <c r="DU82" s="59">
        <f t="shared" si="98"/>
        <v>244.53725944480669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39.981423714132575</v>
      </c>
      <c r="EB82" s="21">
        <f>EXP(-LN(2)/25)*EB81+(1-EXP(-LN(2)/25))/(LN(2)/25)*Calculateur!DW82*Calculateur!DY82*VLOOKUP('Données projet'!$B$14,Paramètres!$A$1:$I$89,3,0)*0.475*44/12</f>
        <v>13.131079705675484</v>
      </c>
      <c r="EC82" s="21">
        <f>EXP(-LN(2)/2)*EC81+(1-EXP(-LN(2)/2))/(LN(2)/2)*DW82*DZ82*VLOOKUP('Données projet'!$B$14,Paramètres!$A$1:$I$89,3,0)*0.475*44/12</f>
        <v>8.1938143786359857E-2</v>
      </c>
      <c r="ED82" s="22">
        <f t="shared" si="72"/>
        <v>53.194441563594417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2.2737367544323206E-13</v>
      </c>
      <c r="EK82" s="17">
        <f>EJ82*VLOOKUP('Données projet'!$B$15,Paramètres!$A$1:$I$89,3,0)*VLOOKUP('Données projet'!$B$15,Paramètres!$A$1:$I$89,5,0)</f>
        <v>1.2710188457276673E-13</v>
      </c>
      <c r="EL82" s="13">
        <f t="shared" si="99"/>
        <v>1.856866851063998E-12</v>
      </c>
      <c r="EM82" s="20">
        <f t="shared" si="73"/>
        <v>3.4554122145673649E-12</v>
      </c>
      <c r="EN82" s="59">
        <f t="shared" si="74"/>
        <v>293.33333333333678</v>
      </c>
      <c r="EO82" s="59">
        <f ca="1">AVERAGE(OFFSET($EN$3,0,0,'Données projet'!$E$15+1,1))-AVERAGE(OFFSET($H$3,0,0,'Données projet'!$E$15+1,1))</f>
        <v>313.36787814924116</v>
      </c>
      <c r="EP82" s="59">
        <f t="shared" si="100"/>
        <v>438.72984487610216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166.52924233112859</v>
      </c>
      <c r="EW82" s="21">
        <f>EXP(-LN(2)/25)*EW81+(1-EXP(-LN(2)/25))/(LN(2)/25)*Calculateur!ER82*Calculateur!ET82*VLOOKUP('Données projet'!$B$15,Paramètres!$A$1:$I$89,3,0)*0.475*44/12</f>
        <v>27.953124767037242</v>
      </c>
      <c r="EX82" s="21">
        <f>EXP(-LN(2)/2)*EX81+(1-EXP(-LN(2)/2))/(LN(2)/2)*ER82*EU82*VLOOKUP('Données projet'!$B$15,Paramètres!$A$1:$I$89,3,0)*0.475*44/12</f>
        <v>1.6369343741221524E-3</v>
      </c>
      <c r="EY82" s="22">
        <f t="shared" si="75"/>
        <v>194.48400403253996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192</v>
      </c>
      <c r="L83" s="12">
        <f>VLOOKUP(A83,'Données projet'!$A$35:$I$55,9,0)</f>
        <v>4.5999999999999996</v>
      </c>
      <c r="M83" s="12">
        <f t="array" ref="M83">INDEX(L:L,MIN(IF(ISNUMBER(L83:L279),ROW(L83:L279),"")))</f>
        <v>4.5999999999999996</v>
      </c>
      <c r="N83" s="13">
        <f>IF('Données projet'!$A$36&gt;35,N82+M83-V82,IF(A83&lt;'Données projet'!$A$36,$K$205^A83,IF(A83='Données projet'!$A$36,'Données projet'!$B$36,N82+M83-V82)))</f>
        <v>191.99999999999997</v>
      </c>
      <c r="O83" s="13">
        <f>N83*VLOOKUP('Données projet'!$B$9,Paramètres!$A$1:$I$89,3,0)*VLOOKUP('Données projet'!$B$9,Paramètres!$A$1:$I$89,5,0)</f>
        <v>173.72159999999997</v>
      </c>
      <c r="P83" s="13">
        <f t="shared" si="87"/>
        <v>43.922484755075111</v>
      </c>
      <c r="Q83" s="20">
        <f t="shared" si="54"/>
        <v>379.06344761508905</v>
      </c>
      <c r="R83" s="59">
        <f t="shared" si="55"/>
        <v>672.39678094842236</v>
      </c>
      <c r="S83" s="59">
        <f ca="1">AVERAGE(OFFSET($R$3,0,0,'Données projet'!$E$9+1,1))-AVERAGE(OFFSET($H$3,0,0,'Données projet'!$E$9+1,1))</f>
        <v>173.91998182168385</v>
      </c>
      <c r="T83" s="59">
        <f t="shared" si="88"/>
        <v>72.011647893875363</v>
      </c>
      <c r="U83" s="15">
        <f>IF(ISNA(VLOOKUP(A83,'Données projet'!$A$35:$I$55,3,0)),0,VLOOKUP(A83,'Données projet'!$A$35:$I$55,3,0))</f>
        <v>12</v>
      </c>
      <c r="V83" s="15">
        <f>IF(ISNA(VLOOKUP(A83,'Données projet'!$A$35:$I$55,4,0)),0,VLOOKUP(A83,'Données projet'!$A$35:$I$55,4,0))</f>
        <v>14</v>
      </c>
      <c r="W83" s="16">
        <f>IF(ISNA(VLOOKUP(A83,'Données projet'!$A$35:$I$55,5,0)),0%,VLOOKUP(A83,'Données projet'!$A$35:$I$55,5,0)*VLOOKUP('Données projet'!$B$9,Paramètres!$A$1:$I$89,7,0))</f>
        <v>0.215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13.631886782227106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13.631886782227106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192</v>
      </c>
      <c r="AG83" s="12">
        <f>VLOOKUP(A83,'Données projet'!$A$61:$I$81,9,0)</f>
        <v>4.5999999999999996</v>
      </c>
      <c r="AH83" s="12">
        <f t="array" ref="AH83">INDEX(AG:AG,MIN(IF(ISNUMBER(AG83:AG279),ROW(AG83:AG279),"")))</f>
        <v>4.5999999999999996</v>
      </c>
      <c r="AI83" s="13">
        <f>IF('Données projet'!$A$62&gt;35,AI82+AH83-AQ82,IF(A83&lt;'Données projet'!$A$62,$AF$205^A83,IF(A83='Données projet'!$A$62,'Données projet'!$B$62,AI82+AH83-AQ82)))</f>
        <v>191.99999999999997</v>
      </c>
      <c r="AJ83" s="13">
        <f>AI83*VLOOKUP('Données projet'!$B$10,Paramètres!$A$1:$I$89,3,0)*VLOOKUP('Données projet'!$B$10,Paramètres!$A$1:$I$89,5,0)</f>
        <v>206.66879999999995</v>
      </c>
      <c r="AK83" s="13">
        <f t="shared" si="89"/>
        <v>51.206958627992705</v>
      </c>
      <c r="AL83" s="20">
        <f t="shared" si="58"/>
        <v>449.1336129437538</v>
      </c>
      <c r="AM83" s="59">
        <f t="shared" si="59"/>
        <v>742.46694627708712</v>
      </c>
      <c r="AN83" s="59">
        <f ca="1">AVERAGE(OFFSET($AM$3,0,0,'Données projet'!$E$10+1,1))-AVERAGE(OFFSET($H$3,0,0,'Données projet'!$E$10+1,1))</f>
        <v>150.9416300233616</v>
      </c>
      <c r="AO83" s="59">
        <f t="shared" si="90"/>
        <v>92.286636088269972</v>
      </c>
      <c r="AP83" s="15">
        <f>IF(ISNA(VLOOKUP(A83,'Données projet'!$A$61:$I$81,3,0)),0,VLOOKUP(A83,'Données projet'!$A$61:$I$81,3,0))</f>
        <v>12</v>
      </c>
      <c r="AQ83" s="15">
        <f>IF(ISNA(VLOOKUP(A83,'Données projet'!$A$61:$I$81,4,0)),0,VLOOKUP(A83,'Données projet'!$A$61:$I$81,4,0))</f>
        <v>192</v>
      </c>
      <c r="AR83" s="16">
        <f>IF(ISNA(VLOOKUP(A83,'Données projet'!$A$61:$I$81,5,0)),0%,VLOOKUP(A83,'Données projet'!$A$61:$I$81,5,0)*VLOOKUP('Données projet'!$B$10,Paramètres!$A$1:$I$89,7,0))</f>
        <v>0.34400000000000003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98.8214037642081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98.8214037642081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192</v>
      </c>
      <c r="BB83" s="12">
        <f>VLOOKUP(A83,'Données projet'!$A$87:$I$107,9,0)</f>
        <v>4.5999999999999996</v>
      </c>
      <c r="BC83" s="12">
        <f t="array" ref="BC83">INDEX(BB:BB,MIN(IF(ISNUMBER(BB83:BB279),ROW(BB83:BB279),"")))</f>
        <v>4.5999999999999996</v>
      </c>
      <c r="BD83" s="12">
        <f>IF('Données projet'!$A$88&gt;35,BD82+BC83-BL82,IF(A83&lt;'Données projet'!$A$88,$BA$205^A83,IF(A83='Données projet'!$A$88,'Données projet'!$B$88,BD82+BC83-BL82)))</f>
        <v>191.99999999999997</v>
      </c>
      <c r="BE83" s="13">
        <f>BD83*VLOOKUP('Données projet'!$B$11,Paramètres!$A$1:$I$89,3,0)*VLOOKUP('Données projet'!$B$11,Paramètres!$A$1:$I$89,5,0)</f>
        <v>185.70239999999998</v>
      </c>
      <c r="BF83" s="13">
        <f t="shared" si="91"/>
        <v>46.588553069776829</v>
      </c>
      <c r="BG83" s="20">
        <f t="shared" si="61"/>
        <v>404.57340992986127</v>
      </c>
      <c r="BH83" s="59">
        <f t="shared" si="62"/>
        <v>697.90674326319458</v>
      </c>
      <c r="BI83" s="59">
        <f ca="1">AVERAGE(OFFSET($BH$3,0,0,'Données projet'!$E$11+1,1))-AVERAGE(OFFSET($H$3,0,0,'Données projet'!$E$11+1,1))</f>
        <v>131.02416800340484</v>
      </c>
      <c r="BJ83" s="59">
        <f t="shared" si="92"/>
        <v>79.394119001888555</v>
      </c>
      <c r="BK83" s="15">
        <f>IF(ISNA(VLOOKUP(A83,'Données projet'!$A$87:$I$107,3,0)),0,VLOOKUP(A83,'Données projet'!$A$87:$I$107,3,0))</f>
        <v>12</v>
      </c>
      <c r="BL83" s="21">
        <f>IF(ISNA(VLOOKUP(A83,'Données projet'!$A$87:$I$107,4,0)),0,VLOOKUP(A83,'Données projet'!$A$87:$I$107,4,0))</f>
        <v>192</v>
      </c>
      <c r="BM83" s="16">
        <f>IF(ISNA(VLOOKUP(A83,'Données projet'!$A$87:$I$107,5,0)),0%,VLOOKUP(A83,'Données projet'!$A$87:$I$107,5,0)*VLOOKUP('Données projet'!$B$11,Paramètres!$A$1:$I$89,7,0))</f>
        <v>0.34400000000000003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88.796043962042063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88.796043962042063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192</v>
      </c>
      <c r="BW83" s="12">
        <f>VLOOKUP(A83,'Données projet'!$A$113:$I$133,9,0)</f>
        <v>4.5999999999999996</v>
      </c>
      <c r="BX83" s="12">
        <f t="array" ref="BX83">INDEX(BW:BW,MIN(IF(ISNUMBER(BW83:BW279),ROW(BW83:BW279),"")))</f>
        <v>4.5999999999999996</v>
      </c>
      <c r="BY83" s="12">
        <f>IF('Données projet'!$A$114&gt;35,BY82+BX83-CG82,IF(A83&lt;'Données projet'!$A$114,$BV$205^A83,IF(A83='Données projet'!$A$114,'Données projet'!$B$114,BY82+BX83-CG82)))</f>
        <v>191.99999999999997</v>
      </c>
      <c r="BZ83" s="13">
        <f>BY83*VLOOKUP('Données projet'!$B$12,Paramètres!$A$1:$I$89,3,0)*VLOOKUP('Données projet'!$B$12,Paramètres!$A$1:$I$89,5,0)</f>
        <v>173.72159999999997</v>
      </c>
      <c r="CA83" s="13">
        <f t="shared" si="93"/>
        <v>43.922484755075111</v>
      </c>
      <c r="CB83" s="20">
        <f t="shared" si="64"/>
        <v>379.06344761508905</v>
      </c>
      <c r="CC83" s="59">
        <f t="shared" si="65"/>
        <v>672.39678094842236</v>
      </c>
      <c r="CD83" s="59">
        <f ca="1">AVERAGE(OFFSET($CC$3,0,0,'Données projet'!$E$12+1,1))-AVERAGE(OFFSET($H$3,0,0,'Données projet'!$E$12+1,1))</f>
        <v>119.62076457560073</v>
      </c>
      <c r="CE83" s="59">
        <f t="shared" si="94"/>
        <v>72.011647893875363</v>
      </c>
      <c r="CF83" s="15">
        <f>IF(ISNA(VLOOKUP(A83,'Données projet'!$A$113:$I$133,3,0)),0,VLOOKUP(A83,'Données projet'!$A$113:$I$133,3,0))</f>
        <v>12</v>
      </c>
      <c r="CG83" s="15">
        <f>IF(ISNA(VLOOKUP(A83,'Données projet'!$A$113:$I$133,4,0)),0,VLOOKUP(A83,'Données projet'!$A$113:$I$133,4,0))</f>
        <v>192</v>
      </c>
      <c r="CH83" s="16">
        <f>IF(ISNA(VLOOKUP(A83,'Données projet'!$A$113:$I$133,5,0)),0%,VLOOKUP(A83,'Données projet'!$A$113:$I$133,5,0)*VLOOKUP('Données projet'!$B$12,Paramètres!$A$1:$I$89,7,0))</f>
        <v>0.34400000000000003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83.067266932232869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83.067266932232869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192</v>
      </c>
      <c r="CR83" s="12">
        <f>VLOOKUP(A83,'Données projet'!$A$139:$I$159,9,0)</f>
        <v>4.5999999999999996</v>
      </c>
      <c r="CS83" s="12">
        <f t="array" ref="CS83">INDEX(CR:CR,MIN(IF(ISNUMBER(CR83:CR279),ROW(CR83:CR279),"")))</f>
        <v>4.5999999999999996</v>
      </c>
      <c r="CT83" s="12">
        <f>IF('Données projet'!$A$140&gt;35,CT82+CS83-DB82,IF(A83&lt;'Données projet'!$A$140,$CQ$205^A83,IF(A83='Données projet'!$A$140,'Données projet'!$B$140,CT82+CS83-DB82)))</f>
        <v>191.99999999999997</v>
      </c>
      <c r="CU83" s="17">
        <f>CT83*VLOOKUP('Données projet'!$B$13,Paramètres!$A$1:$I$89,3,0)*VLOOKUP('Données projet'!$B$13,Paramètres!$A$1:$I$89,5,0)</f>
        <v>206.66879999999995</v>
      </c>
      <c r="CV83" s="13">
        <f t="shared" si="95"/>
        <v>51.206958627992705</v>
      </c>
      <c r="CW83" s="20">
        <f t="shared" si="67"/>
        <v>449.1336129437538</v>
      </c>
      <c r="CX83" s="59">
        <f t="shared" si="68"/>
        <v>742.46694627708712</v>
      </c>
      <c r="CY83" s="59">
        <f ca="1">AVERAGE(OFFSET($CX$3,0,0,'Données projet'!$E$13+1,1))-AVERAGE(OFFSET($H$3,0,0,'Données projet'!$E$13+1,1))</f>
        <v>150.9416300233616</v>
      </c>
      <c r="CZ83" s="59">
        <f t="shared" si="96"/>
        <v>92.286636088269972</v>
      </c>
      <c r="DA83" s="15">
        <f>IF(ISNA(VLOOKUP(A83,'Données projet'!$A$139:$I$159,3,0)),0,VLOOKUP(A83,'Données projet'!$A$139:$I$159,3,0))</f>
        <v>12</v>
      </c>
      <c r="DB83" s="15">
        <f>IF(ISNA(VLOOKUP(A83,'Données projet'!$A$139:$I$159,4,0)),0,VLOOKUP(A83,'Données projet'!$A$139:$I$159,4,0))</f>
        <v>192</v>
      </c>
      <c r="DC83" s="16">
        <f>IF(ISNA(VLOOKUP(A83,'Données projet'!$A$139:$I$159,5,0)),0%,VLOOKUP(A83,'Données projet'!$A$139:$I$159,5,0)*VLOOKUP('Données projet'!$B$13,Paramètres!$A$1:$I$89,7,0))</f>
        <v>0.34400000000000003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98.8214037642081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98.8214037642081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439.99999999999943</v>
      </c>
      <c r="DP83" s="17">
        <f>DO83*VLOOKUP('Données projet'!$B$14,Paramètres!$A$1:$I$89,3,0)*VLOOKUP('Données projet'!$B$14,Paramètres!$A$1:$I$89,5,0)</f>
        <v>263.11999999999966</v>
      </c>
      <c r="DQ83" s="13">
        <f t="shared" si="97"/>
        <v>63.386973458751953</v>
      </c>
      <c r="DR83" s="20">
        <f t="shared" si="70"/>
        <v>568.66631210732578</v>
      </c>
      <c r="DS83" s="59">
        <f t="shared" si="71"/>
        <v>861.99964544065915</v>
      </c>
      <c r="DT83" s="59">
        <f ca="1">AVERAGE(OFFSET($DS$3,0,0,'Données projet'!$E$14+1,1))-AVERAGE(OFFSET($H$3,0,0,'Données projet'!$E$14+1,1))</f>
        <v>249.22792522076639</v>
      </c>
      <c r="DU83" s="59">
        <f t="shared" si="98"/>
        <v>244.53725944480669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39.197412381358959</v>
      </c>
      <c r="EB83" s="21">
        <f>EXP(-LN(2)/25)*EB82+(1-EXP(-LN(2)/25))/(LN(2)/25)*Calculateur!DW83*Calculateur!DY83*VLOOKUP('Données projet'!$B$14,Paramètres!$A$1:$I$89,3,0)*0.475*44/12</f>
        <v>12.772009640590317</v>
      </c>
      <c r="EC83" s="21">
        <f>EXP(-LN(2)/2)*EC82+(1-EXP(-LN(2)/2))/(LN(2)/2)*DW83*DZ83*VLOOKUP('Données projet'!$B$14,Paramètres!$A$1:$I$89,3,0)*0.475*44/12</f>
        <v>5.793901710917343E-2</v>
      </c>
      <c r="ED83" s="22">
        <f t="shared" si="72"/>
        <v>52.027361039058448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2.2737367544323206E-13</v>
      </c>
      <c r="EK83" s="17">
        <f>EJ83*VLOOKUP('Données projet'!$B$15,Paramètres!$A$1:$I$89,3,0)*VLOOKUP('Données projet'!$B$15,Paramètres!$A$1:$I$89,5,0)</f>
        <v>1.2710188457276673E-13</v>
      </c>
      <c r="EL83" s="13">
        <f t="shared" si="99"/>
        <v>1.856866851063998E-12</v>
      </c>
      <c r="EM83" s="20">
        <f t="shared" si="73"/>
        <v>3.4554122145673649E-12</v>
      </c>
      <c r="EN83" s="59">
        <f t="shared" si="74"/>
        <v>293.33333333333678</v>
      </c>
      <c r="EO83" s="59">
        <f ca="1">AVERAGE(OFFSET($EN$3,0,0,'Données projet'!$E$15+1,1))-AVERAGE(OFFSET($H$3,0,0,'Données projet'!$E$15+1,1))</f>
        <v>313.36787814924116</v>
      </c>
      <c r="EP83" s="59">
        <f t="shared" si="100"/>
        <v>438.72984487610216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163.26370546182349</v>
      </c>
      <c r="EW83" s="21">
        <f>EXP(-LN(2)/25)*EW82+(1-EXP(-LN(2)/25))/(LN(2)/25)*Calculateur!ER83*Calculateur!ET83*VLOOKUP('Données projet'!$B$15,Paramètres!$A$1:$I$89,3,0)*0.475*44/12</f>
        <v>27.188745100291666</v>
      </c>
      <c r="EX83" s="21">
        <f>EXP(-LN(2)/2)*EX82+(1-EXP(-LN(2)/2))/(LN(2)/2)*ER83*EU83*VLOOKUP('Données projet'!$B$15,Paramètres!$A$1:$I$89,3,0)*0.475*44/12</f>
        <v>1.1574873962991309E-3</v>
      </c>
      <c r="EY83" s="22">
        <f t="shared" si="75"/>
        <v>190.45360804951147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4.4000000000000004</v>
      </c>
      <c r="N84" s="13">
        <f>IF('Données projet'!$A$36&gt;35,N83+M84-V83,IF(A84&lt;'Données projet'!$A$36,$K$205^A84,IF(A84='Données projet'!$A$36,'Données projet'!$B$36,N83+M84-V83)))</f>
        <v>182.39999999999998</v>
      </c>
      <c r="O84" s="13">
        <f>N84*VLOOKUP('Données projet'!$B$9,Paramètres!$A$1:$I$89,3,0)*VLOOKUP('Données projet'!$B$9,Paramètres!$A$1:$I$89,5,0)</f>
        <v>165.03551999999996</v>
      </c>
      <c r="P84" s="13">
        <f t="shared" si="87"/>
        <v>41.976234598846517</v>
      </c>
      <c r="Q84" s="20">
        <f t="shared" si="54"/>
        <v>360.54547259299096</v>
      </c>
      <c r="R84" s="59">
        <f t="shared" si="55"/>
        <v>653.87880592632428</v>
      </c>
      <c r="S84" s="59">
        <f ca="1">AVERAGE(OFFSET($R$3,0,0,'Données projet'!$E$9+1,1))-AVERAGE(OFFSET($H$3,0,0,'Données projet'!$E$9+1,1))</f>
        <v>173.91998182168385</v>
      </c>
      <c r="T84" s="59">
        <f t="shared" si="88"/>
        <v>72.011647893875363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13.364573797057568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13.364573797057568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-2.8421709430404007E-14</v>
      </c>
      <c r="AJ84" s="13">
        <f>AI84*VLOOKUP('Données projet'!$B$10,Paramètres!$A$1:$I$89,3,0)*VLOOKUP('Données projet'!$B$10,Paramètres!$A$1:$I$89,5,0)</f>
        <v>-3.0593128030886874E-14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150.9416300233616</v>
      </c>
      <c r="AO84" s="59">
        <f t="shared" si="90"/>
        <v>92.286636088269972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96.883576311496597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96.883576311496597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-2.8421709430404007E-14</v>
      </c>
      <c r="BE84" s="13">
        <f>BD84*VLOOKUP('Données projet'!$B$11,Paramètres!$A$1:$I$89,3,0)*VLOOKUP('Données projet'!$B$11,Paramètres!$A$1:$I$89,5,0)</f>
        <v>-2.7489477361086758E-14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131.02416800340484</v>
      </c>
      <c r="BJ84" s="59">
        <f t="shared" si="92"/>
        <v>79.394119001888555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87.05480770018535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87.05480770018535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-2.8421709430404007E-14</v>
      </c>
      <c r="BZ84" s="13">
        <f>BY84*VLOOKUP('Données projet'!$B$12,Paramètres!$A$1:$I$89,3,0)*VLOOKUP('Données projet'!$B$12,Paramètres!$A$1:$I$89,5,0)</f>
        <v>-2.5715962692629544E-14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119.62076457560073</v>
      </c>
      <c r="CE84" s="59">
        <f t="shared" si="94"/>
        <v>72.011647893875363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81.438368493721754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81.438368493721754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-2.8421709430404007E-14</v>
      </c>
      <c r="CU84" s="17">
        <f>CT84*VLOOKUP('Données projet'!$B$13,Paramètres!$A$1:$I$89,3,0)*VLOOKUP('Données projet'!$B$13,Paramètres!$A$1:$I$89,5,0)</f>
        <v>-3.0593128030886874E-14</v>
      </c>
      <c r="CV84" s="13" t="e">
        <f t="shared" si="95"/>
        <v>#NUM!</v>
      </c>
      <c r="CW84" s="20" t="e">
        <f t="shared" si="67"/>
        <v>#NUM!</v>
      </c>
      <c r="CX84" s="59" t="e">
        <f t="shared" si="68"/>
        <v>#NUM!</v>
      </c>
      <c r="CY84" s="59">
        <f ca="1">AVERAGE(OFFSET($CX$3,0,0,'Données projet'!$E$13+1,1))-AVERAGE(OFFSET($H$3,0,0,'Données projet'!$E$13+1,1))</f>
        <v>150.9416300233616</v>
      </c>
      <c r="CZ84" s="59">
        <f t="shared" si="96"/>
        <v>92.286636088269972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96.883576311496597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96.883576311496597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439.99999999999943</v>
      </c>
      <c r="DP84" s="17">
        <f>DO84*VLOOKUP('Données projet'!$B$14,Paramètres!$A$1:$I$89,3,0)*VLOOKUP('Données projet'!$B$14,Paramètres!$A$1:$I$89,5,0)</f>
        <v>263.11999999999966</v>
      </c>
      <c r="DQ84" s="13">
        <f t="shared" si="97"/>
        <v>63.386973458751953</v>
      </c>
      <c r="DR84" s="20">
        <f t="shared" si="70"/>
        <v>568.66631210732578</v>
      </c>
      <c r="DS84" s="59">
        <f t="shared" si="71"/>
        <v>861.99964544065915</v>
      </c>
      <c r="DT84" s="59">
        <f ca="1">AVERAGE(OFFSET($DS$3,0,0,'Données projet'!$E$14+1,1))-AVERAGE(OFFSET($H$3,0,0,'Données projet'!$E$14+1,1))</f>
        <v>249.22792522076639</v>
      </c>
      <c r="DU84" s="59">
        <f t="shared" si="98"/>
        <v>244.53725944480669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38.428775032621338</v>
      </c>
      <c r="EB84" s="21">
        <f>EXP(-LN(2)/25)*EB83+(1-EXP(-LN(2)/25))/(LN(2)/25)*Calculateur!DW84*Calculateur!DY84*VLOOKUP('Données projet'!$B$14,Paramètres!$A$1:$I$89,3,0)*0.475*44/12</f>
        <v>12.422758365317579</v>
      </c>
      <c r="EC84" s="21">
        <f>EXP(-LN(2)/2)*EC83+(1-EXP(-LN(2)/2))/(LN(2)/2)*DW84*DZ84*VLOOKUP('Données projet'!$B$14,Paramètres!$A$1:$I$89,3,0)*0.475*44/12</f>
        <v>4.0969071893179936E-2</v>
      </c>
      <c r="ED84" s="22">
        <f t="shared" si="72"/>
        <v>50.892502469832095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2.2737367544323206E-13</v>
      </c>
      <c r="EK84" s="17">
        <f>EJ84*VLOOKUP('Données projet'!$B$15,Paramètres!$A$1:$I$89,3,0)*VLOOKUP('Données projet'!$B$15,Paramètres!$A$1:$I$89,5,0)</f>
        <v>1.2710188457276673E-13</v>
      </c>
      <c r="EL84" s="13">
        <f t="shared" si="99"/>
        <v>1.856866851063998E-12</v>
      </c>
      <c r="EM84" s="20">
        <f t="shared" si="73"/>
        <v>3.4554122145673649E-12</v>
      </c>
      <c r="EN84" s="59">
        <f t="shared" si="74"/>
        <v>293.33333333333678</v>
      </c>
      <c r="EO84" s="59">
        <f ca="1">AVERAGE(OFFSET($EN$3,0,0,'Données projet'!$E$15+1,1))-AVERAGE(OFFSET($H$3,0,0,'Données projet'!$E$15+1,1))</f>
        <v>313.36787814924116</v>
      </c>
      <c r="EP84" s="59">
        <f t="shared" si="100"/>
        <v>438.72984487610216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160.06220377874465</v>
      </c>
      <c r="EW84" s="21">
        <f>EXP(-LN(2)/25)*EW83+(1-EXP(-LN(2)/25))/(LN(2)/25)*Calculateur!ER84*Calculateur!ET84*VLOOKUP('Données projet'!$B$15,Paramètres!$A$1:$I$89,3,0)*0.475*44/12</f>
        <v>26.445267435730226</v>
      </c>
      <c r="EX84" s="21">
        <f>EXP(-LN(2)/2)*EX83+(1-EXP(-LN(2)/2))/(LN(2)/2)*ER84*EU84*VLOOKUP('Données projet'!$B$15,Paramètres!$A$1:$I$89,3,0)*0.475*44/12</f>
        <v>8.1846718706107618E-4</v>
      </c>
      <c r="EY84" s="22">
        <f t="shared" si="75"/>
        <v>186.50828968166192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4.4000000000000004</v>
      </c>
      <c r="N85" s="13">
        <f>IF('Données projet'!$A$36&gt;35,N84+M85-V84,IF(A85&lt;'Données projet'!$A$36,$K$205^A85,IF(A85='Données projet'!$A$36,'Données projet'!$B$36,N84+M85-V84)))</f>
        <v>186.79999999999998</v>
      </c>
      <c r="O85" s="13">
        <f>N85*VLOOKUP('Données projet'!$B$9,Paramètres!$A$1:$I$89,3,0)*VLOOKUP('Données projet'!$B$9,Paramètres!$A$1:$I$89,5,0)</f>
        <v>169.01663999999997</v>
      </c>
      <c r="P85" s="13">
        <f t="shared" si="87"/>
        <v>42.869709352189666</v>
      </c>
      <c r="Q85" s="20">
        <f t="shared" si="54"/>
        <v>369.03539178839691</v>
      </c>
      <c r="R85" s="59">
        <f t="shared" si="55"/>
        <v>662.36872512173022</v>
      </c>
      <c r="S85" s="59">
        <f ca="1">AVERAGE(OFFSET($R$3,0,0,'Données projet'!$E$9+1,1))-AVERAGE(OFFSET($H$3,0,0,'Données projet'!$E$9+1,1))</f>
        <v>173.91998182168385</v>
      </c>
      <c r="T85" s="59">
        <f t="shared" si="88"/>
        <v>72.011647893875363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13.102502656482384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13.102502656482384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-2.8421709430404007E-14</v>
      </c>
      <c r="AJ85" s="13">
        <f>AI85*VLOOKUP('Données projet'!$B$10,Paramètres!$A$1:$I$89,3,0)*VLOOKUP('Données projet'!$B$10,Paramètres!$A$1:$I$89,5,0)</f>
        <v>-3.0593128030886874E-14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150.9416300233616</v>
      </c>
      <c r="AO85" s="59">
        <f t="shared" si="90"/>
        <v>92.286636088269972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94.983748473174742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94.983748473174742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-2.8421709430404007E-14</v>
      </c>
      <c r="BE85" s="13">
        <f>BD85*VLOOKUP('Données projet'!$B$11,Paramètres!$A$1:$I$89,3,0)*VLOOKUP('Données projet'!$B$11,Paramètres!$A$1:$I$89,5,0)</f>
        <v>-2.7489477361086758E-14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131.02416800340484</v>
      </c>
      <c r="BJ85" s="59">
        <f t="shared" si="92"/>
        <v>79.394119001888555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85.347716019374403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85.347716019374403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-2.8421709430404007E-14</v>
      </c>
      <c r="BZ85" s="13">
        <f>BY85*VLOOKUP('Données projet'!$B$12,Paramètres!$A$1:$I$89,3,0)*VLOOKUP('Données projet'!$B$12,Paramètres!$A$1:$I$89,5,0)</f>
        <v>-2.5715962692629544E-14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119.62076457560073</v>
      </c>
      <c r="CE85" s="59">
        <f t="shared" si="94"/>
        <v>72.011647893875363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79.841411760059898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79.841411760059898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-2.8421709430404007E-14</v>
      </c>
      <c r="CU85" s="17">
        <f>CT85*VLOOKUP('Données projet'!$B$13,Paramètres!$A$1:$I$89,3,0)*VLOOKUP('Données projet'!$B$13,Paramètres!$A$1:$I$89,5,0)</f>
        <v>-3.0593128030886874E-14</v>
      </c>
      <c r="CV85" s="13" t="e">
        <f t="shared" si="95"/>
        <v>#NUM!</v>
      </c>
      <c r="CW85" s="20" t="e">
        <f t="shared" si="67"/>
        <v>#NUM!</v>
      </c>
      <c r="CX85" s="59" t="e">
        <f t="shared" si="68"/>
        <v>#NUM!</v>
      </c>
      <c r="CY85" s="59">
        <f ca="1">AVERAGE(OFFSET($CX$3,0,0,'Données projet'!$E$13+1,1))-AVERAGE(OFFSET($H$3,0,0,'Données projet'!$E$13+1,1))</f>
        <v>150.9416300233616</v>
      </c>
      <c r="CZ85" s="59">
        <f t="shared" si="96"/>
        <v>92.286636088269972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94.983748473174742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94.983748473174742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439.99999999999943</v>
      </c>
      <c r="DP85" s="17">
        <f>DO85*VLOOKUP('Données projet'!$B$14,Paramètres!$A$1:$I$89,3,0)*VLOOKUP('Données projet'!$B$14,Paramètres!$A$1:$I$89,5,0)</f>
        <v>263.11999999999966</v>
      </c>
      <c r="DQ85" s="13">
        <f t="shared" si="97"/>
        <v>63.386973458751953</v>
      </c>
      <c r="DR85" s="20">
        <f t="shared" si="70"/>
        <v>568.66631210732578</v>
      </c>
      <c r="DS85" s="59">
        <f t="shared" si="71"/>
        <v>861.99964544065915</v>
      </c>
      <c r="DT85" s="59">
        <f ca="1">AVERAGE(OFFSET($DS$3,0,0,'Données projet'!$E$14+1,1))-AVERAGE(OFFSET($H$3,0,0,'Données projet'!$E$14+1,1))</f>
        <v>249.22792522076639</v>
      </c>
      <c r="DU85" s="59">
        <f t="shared" si="98"/>
        <v>244.53725944480669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37.675210193469972</v>
      </c>
      <c r="EB85" s="21">
        <f>EXP(-LN(2)/25)*EB84+(1-EXP(-LN(2)/25))/(LN(2)/25)*Calculateur!DW85*Calculateur!DY85*VLOOKUP('Données projet'!$B$14,Paramètres!$A$1:$I$89,3,0)*0.475*44/12</f>
        <v>12.0830573845335</v>
      </c>
      <c r="EC85" s="21">
        <f>EXP(-LN(2)/2)*EC84+(1-EXP(-LN(2)/2))/(LN(2)/2)*DW85*DZ85*VLOOKUP('Données projet'!$B$14,Paramètres!$A$1:$I$89,3,0)*0.475*44/12</f>
        <v>2.8969508554586722E-2</v>
      </c>
      <c r="ED85" s="22">
        <f t="shared" si="72"/>
        <v>49.787237086558058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2.2737367544323206E-13</v>
      </c>
      <c r="EK85" s="17">
        <f>EJ85*VLOOKUP('Données projet'!$B$15,Paramètres!$A$1:$I$89,3,0)*VLOOKUP('Données projet'!$B$15,Paramètres!$A$1:$I$89,5,0)</f>
        <v>1.2710188457276673E-13</v>
      </c>
      <c r="EL85" s="13">
        <f t="shared" si="99"/>
        <v>1.856866851063998E-12</v>
      </c>
      <c r="EM85" s="20">
        <f t="shared" si="73"/>
        <v>3.4554122145673649E-12</v>
      </c>
      <c r="EN85" s="59">
        <f t="shared" si="74"/>
        <v>293.33333333333678</v>
      </c>
      <c r="EO85" s="59">
        <f ca="1">AVERAGE(OFFSET($EN$3,0,0,'Données projet'!$E$15+1,1))-AVERAGE(OFFSET($H$3,0,0,'Données projet'!$E$15+1,1))</f>
        <v>313.36787814924116</v>
      </c>
      <c r="EP85" s="59">
        <f t="shared" si="100"/>
        <v>438.72984487610216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156.92348159094777</v>
      </c>
      <c r="EW85" s="21">
        <f>EXP(-LN(2)/25)*EW84+(1-EXP(-LN(2)/25))/(LN(2)/25)*Calculateur!ER85*Calculateur!ET85*VLOOKUP('Données projet'!$B$15,Paramètres!$A$1:$I$89,3,0)*0.475*44/12</f>
        <v>25.722120207004011</v>
      </c>
      <c r="EX85" s="21">
        <f>EXP(-LN(2)/2)*EX84+(1-EXP(-LN(2)/2))/(LN(2)/2)*ER85*EU85*VLOOKUP('Données projet'!$B$15,Paramètres!$A$1:$I$89,3,0)*0.475*44/12</f>
        <v>5.7874369814956545E-4</v>
      </c>
      <c r="EY85" s="22">
        <f t="shared" si="75"/>
        <v>182.64618054164993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4.4000000000000004</v>
      </c>
      <c r="N86" s="13">
        <f>IF('Données projet'!$A$36&gt;35,N85+M86-V85,IF(A86&lt;'Données projet'!$A$36,$K$205^A86,IF(A86='Données projet'!$A$36,'Données projet'!$B$36,N85+M86-V85)))</f>
        <v>191.2</v>
      </c>
      <c r="O86" s="13">
        <f>N86*VLOOKUP('Données projet'!$B$9,Paramètres!$A$1:$I$89,3,0)*VLOOKUP('Données projet'!$B$9,Paramètres!$A$1:$I$89,5,0)</f>
        <v>172.99775999999997</v>
      </c>
      <c r="P86" s="13">
        <f t="shared" si="87"/>
        <v>43.760737531919609</v>
      </c>
      <c r="Q86" s="20">
        <f t="shared" si="54"/>
        <v>377.52104986809326</v>
      </c>
      <c r="R86" s="59">
        <f t="shared" si="55"/>
        <v>670.85438320142657</v>
      </c>
      <c r="S86" s="59">
        <f ca="1">AVERAGE(OFFSET($R$3,0,0,'Données projet'!$E$9+1,1))-AVERAGE(OFFSET($H$3,0,0,'Données projet'!$E$9+1,1))</f>
        <v>173.91998182168385</v>
      </c>
      <c r="T86" s="59">
        <f t="shared" si="88"/>
        <v>72.011647893875363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12.845570571126267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12.845570571126267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-2.8421709430404007E-14</v>
      </c>
      <c r="AJ86" s="13">
        <f>AI86*VLOOKUP('Données projet'!$B$10,Paramètres!$A$1:$I$89,3,0)*VLOOKUP('Données projet'!$B$10,Paramètres!$A$1:$I$89,5,0)</f>
        <v>-3.0593128030886874E-14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150.9416300233616</v>
      </c>
      <c r="AO86" s="59">
        <f t="shared" si="90"/>
        <v>92.286636088269972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93.121175099981812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93.121175099981812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-2.8421709430404007E-14</v>
      </c>
      <c r="BE86" s="13">
        <f>BD86*VLOOKUP('Données projet'!$B$11,Paramètres!$A$1:$I$89,3,0)*VLOOKUP('Données projet'!$B$11,Paramètres!$A$1:$I$89,5,0)</f>
        <v>-2.7489477361086758E-14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131.02416800340484</v>
      </c>
      <c r="BJ86" s="59">
        <f t="shared" si="92"/>
        <v>79.394119001888555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83.674099365201045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83.674099365201045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-2.8421709430404007E-14</v>
      </c>
      <c r="BZ86" s="13">
        <f>BY86*VLOOKUP('Données projet'!$B$12,Paramètres!$A$1:$I$89,3,0)*VLOOKUP('Données projet'!$B$12,Paramètres!$A$1:$I$89,5,0)</f>
        <v>-2.5715962692629544E-14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119.62076457560073</v>
      </c>
      <c r="CE86" s="59">
        <f t="shared" si="94"/>
        <v>72.011647893875363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78.275770373897728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78.275770373897728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-2.8421709430404007E-14</v>
      </c>
      <c r="CU86" s="17">
        <f>CT86*VLOOKUP('Données projet'!$B$13,Paramètres!$A$1:$I$89,3,0)*VLOOKUP('Données projet'!$B$13,Paramètres!$A$1:$I$89,5,0)</f>
        <v>-3.0593128030886874E-14</v>
      </c>
      <c r="CV86" s="13" t="e">
        <f t="shared" si="95"/>
        <v>#NUM!</v>
      </c>
      <c r="CW86" s="20" t="e">
        <f t="shared" si="67"/>
        <v>#NUM!</v>
      </c>
      <c r="CX86" s="59" t="e">
        <f t="shared" si="68"/>
        <v>#NUM!</v>
      </c>
      <c r="CY86" s="59">
        <f ca="1">AVERAGE(OFFSET($CX$3,0,0,'Données projet'!$E$13+1,1))-AVERAGE(OFFSET($H$3,0,0,'Données projet'!$E$13+1,1))</f>
        <v>150.9416300233616</v>
      </c>
      <c r="CZ86" s="59">
        <f t="shared" si="96"/>
        <v>92.286636088269972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93.121175099981812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93.121175099981812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439.99999999999943</v>
      </c>
      <c r="DP86" s="17">
        <f>DO86*VLOOKUP('Données projet'!$B$14,Paramètres!$A$1:$I$89,3,0)*VLOOKUP('Données projet'!$B$14,Paramètres!$A$1:$I$89,5,0)</f>
        <v>263.11999999999966</v>
      </c>
      <c r="DQ86" s="13">
        <f t="shared" si="97"/>
        <v>63.386973458751953</v>
      </c>
      <c r="DR86" s="20">
        <f t="shared" si="70"/>
        <v>568.66631210732578</v>
      </c>
      <c r="DS86" s="59">
        <f t="shared" si="71"/>
        <v>861.99964544065915</v>
      </c>
      <c r="DT86" s="59">
        <f ca="1">AVERAGE(OFFSET($DS$3,0,0,'Données projet'!$E$14+1,1))-AVERAGE(OFFSET($H$3,0,0,'Données projet'!$E$14+1,1))</f>
        <v>249.22792522076639</v>
      </c>
      <c r="DU86" s="59">
        <f t="shared" si="98"/>
        <v>244.53725944480669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36.936422301185196</v>
      </c>
      <c r="EB86" s="21">
        <f>EXP(-LN(2)/25)*EB85+(1-EXP(-LN(2)/25))/(LN(2)/25)*Calculateur!DW86*Calculateur!DY86*VLOOKUP('Données projet'!$B$14,Paramètres!$A$1:$I$89,3,0)*0.475*44/12</f>
        <v>11.75264554493306</v>
      </c>
      <c r="EC86" s="21">
        <f>EXP(-LN(2)/2)*EC85+(1-EXP(-LN(2)/2))/(LN(2)/2)*DW86*DZ86*VLOOKUP('Données projet'!$B$14,Paramètres!$A$1:$I$89,3,0)*0.475*44/12</f>
        <v>2.0484535946589971E-2</v>
      </c>
      <c r="ED86" s="22">
        <f t="shared" si="72"/>
        <v>48.709552382064849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2.2737367544323206E-13</v>
      </c>
      <c r="EK86" s="17">
        <f>EJ86*VLOOKUP('Données projet'!$B$15,Paramètres!$A$1:$I$89,3,0)*VLOOKUP('Données projet'!$B$15,Paramètres!$A$1:$I$89,5,0)</f>
        <v>1.2710188457276673E-13</v>
      </c>
      <c r="EL86" s="13">
        <f t="shared" si="99"/>
        <v>1.856866851063998E-12</v>
      </c>
      <c r="EM86" s="20">
        <f t="shared" si="73"/>
        <v>3.4554122145673649E-12</v>
      </c>
      <c r="EN86" s="59">
        <f t="shared" si="74"/>
        <v>293.33333333333678</v>
      </c>
      <c r="EO86" s="59">
        <f ca="1">AVERAGE(OFFSET($EN$3,0,0,'Données projet'!$E$15+1,1))-AVERAGE(OFFSET($H$3,0,0,'Données projet'!$E$15+1,1))</f>
        <v>313.36787814924116</v>
      </c>
      <c r="EP86" s="59">
        <f t="shared" si="100"/>
        <v>438.72984487610216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153.8463078308221</v>
      </c>
      <c r="EW86" s="21">
        <f>EXP(-LN(2)/25)*EW85+(1-EXP(-LN(2)/25))/(LN(2)/25)*Calculateur!ER86*Calculateur!ET86*VLOOKUP('Données projet'!$B$15,Paramètres!$A$1:$I$89,3,0)*0.475*44/12</f>
        <v>25.018747477275973</v>
      </c>
      <c r="EX86" s="21">
        <f>EXP(-LN(2)/2)*EX85+(1-EXP(-LN(2)/2))/(LN(2)/2)*ER86*EU86*VLOOKUP('Données projet'!$B$15,Paramètres!$A$1:$I$89,3,0)*0.475*44/12</f>
        <v>4.0923359353053809E-4</v>
      </c>
      <c r="EY86" s="22">
        <f t="shared" si="75"/>
        <v>178.86546454169161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4.4000000000000004</v>
      </c>
      <c r="N87" s="13">
        <f>IF('Données projet'!$A$36&gt;35,N86+M87-V86,IF(A87&lt;'Données projet'!$A$36,$K$205^A87,IF(A87='Données projet'!$A$36,'Données projet'!$B$36,N86+M87-V86)))</f>
        <v>195.6</v>
      </c>
      <c r="O87" s="13">
        <f>N87*VLOOKUP('Données projet'!$B$9,Paramètres!$A$1:$I$89,3,0)*VLOOKUP('Données projet'!$B$9,Paramètres!$A$1:$I$89,5,0)</f>
        <v>176.97888</v>
      </c>
      <c r="P87" s="13">
        <f t="shared" si="87"/>
        <v>44.649381920571734</v>
      </c>
      <c r="Q87" s="20">
        <f t="shared" si="54"/>
        <v>386.00255617832909</v>
      </c>
      <c r="R87" s="59">
        <f t="shared" si="55"/>
        <v>679.33588951166234</v>
      </c>
      <c r="S87" s="59">
        <f ca="1">AVERAGE(OFFSET($R$3,0,0,'Données projet'!$E$9+1,1))-AVERAGE(OFFSET($H$3,0,0,'Données projet'!$E$9+1,1))</f>
        <v>173.91998182168385</v>
      </c>
      <c r="T87" s="59">
        <f t="shared" si="88"/>
        <v>72.011647893875363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12.593676767250885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12.593676767250885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-2.8421709430404007E-14</v>
      </c>
      <c r="AJ87" s="13">
        <f>AI87*VLOOKUP('Données projet'!$B$10,Paramètres!$A$1:$I$89,3,0)*VLOOKUP('Données projet'!$B$10,Paramètres!$A$1:$I$89,5,0)</f>
        <v>-3.0593128030886874E-14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150.9416300233616</v>
      </c>
      <c r="AO87" s="59">
        <f t="shared" si="90"/>
        <v>92.286636088269972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91.295125654579607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91.295125654579607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-2.8421709430404007E-14</v>
      </c>
      <c r="BE87" s="13">
        <f>BD87*VLOOKUP('Données projet'!$B$11,Paramètres!$A$1:$I$89,3,0)*VLOOKUP('Données projet'!$B$11,Paramètres!$A$1:$I$89,5,0)</f>
        <v>-2.7489477361086758E-14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131.02416800340484</v>
      </c>
      <c r="BJ87" s="59">
        <f t="shared" si="92"/>
        <v>79.394119001888555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82.033301312810664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82.033301312810664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-2.8421709430404007E-14</v>
      </c>
      <c r="BZ87" s="13">
        <f>BY87*VLOOKUP('Données projet'!$B$12,Paramètres!$A$1:$I$89,3,0)*VLOOKUP('Données projet'!$B$12,Paramètres!$A$1:$I$89,5,0)</f>
        <v>-2.5715962692629544E-14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119.62076457560073</v>
      </c>
      <c r="CE87" s="59">
        <f t="shared" si="94"/>
        <v>72.011647893875363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76.74083026037124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76.74083026037124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-2.8421709430404007E-14</v>
      </c>
      <c r="CU87" s="17">
        <f>CT87*VLOOKUP('Données projet'!$B$13,Paramètres!$A$1:$I$89,3,0)*VLOOKUP('Données projet'!$B$13,Paramètres!$A$1:$I$89,5,0)</f>
        <v>-3.0593128030886874E-14</v>
      </c>
      <c r="CV87" s="13" t="e">
        <f t="shared" si="95"/>
        <v>#NUM!</v>
      </c>
      <c r="CW87" s="20" t="e">
        <f t="shared" si="67"/>
        <v>#NUM!</v>
      </c>
      <c r="CX87" s="59" t="e">
        <f t="shared" si="68"/>
        <v>#NUM!</v>
      </c>
      <c r="CY87" s="59">
        <f ca="1">AVERAGE(OFFSET($CX$3,0,0,'Données projet'!$E$13+1,1))-AVERAGE(OFFSET($H$3,0,0,'Données projet'!$E$13+1,1))</f>
        <v>150.9416300233616</v>
      </c>
      <c r="CZ87" s="59">
        <f t="shared" si="96"/>
        <v>92.286636088269972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91.295125654579607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91.295125654579607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439.99999999999943</v>
      </c>
      <c r="DP87" s="17">
        <f>DO87*VLOOKUP('Données projet'!$B$14,Paramètres!$A$1:$I$89,3,0)*VLOOKUP('Données projet'!$B$14,Paramètres!$A$1:$I$89,5,0)</f>
        <v>263.11999999999966</v>
      </c>
      <c r="DQ87" s="13">
        <f t="shared" si="97"/>
        <v>63.386973458751953</v>
      </c>
      <c r="DR87" s="20">
        <f t="shared" si="70"/>
        <v>568.66631210732578</v>
      </c>
      <c r="DS87" s="59">
        <f t="shared" si="71"/>
        <v>861.99964544065915</v>
      </c>
      <c r="DT87" s="59">
        <f ca="1">AVERAGE(OFFSET($DS$3,0,0,'Données projet'!$E$14+1,1))-AVERAGE(OFFSET($H$3,0,0,'Données projet'!$E$14+1,1))</f>
        <v>249.22792522076639</v>
      </c>
      <c r="DU87" s="59">
        <f t="shared" si="98"/>
        <v>244.53725944480669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36.212121588852007</v>
      </c>
      <c r="EB87" s="21">
        <f>EXP(-LN(2)/25)*EB86+(1-EXP(-LN(2)/25))/(LN(2)/25)*Calculateur!DW87*Calculateur!DY87*VLOOKUP('Données projet'!$B$14,Paramètres!$A$1:$I$89,3,0)*0.475*44/12</f>
        <v>11.431268834462097</v>
      </c>
      <c r="EC87" s="21">
        <f>EXP(-LN(2)/2)*EC86+(1-EXP(-LN(2)/2))/(LN(2)/2)*DW87*DZ87*VLOOKUP('Données projet'!$B$14,Paramètres!$A$1:$I$89,3,0)*0.475*44/12</f>
        <v>1.4484754277293363E-2</v>
      </c>
      <c r="ED87" s="22">
        <f t="shared" si="72"/>
        <v>47.657875177591393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2.2737367544323206E-13</v>
      </c>
      <c r="EK87" s="17">
        <f>EJ87*VLOOKUP('Données projet'!$B$15,Paramètres!$A$1:$I$89,3,0)*VLOOKUP('Données projet'!$B$15,Paramètres!$A$1:$I$89,5,0)</f>
        <v>1.2710188457276673E-13</v>
      </c>
      <c r="EL87" s="13">
        <f t="shared" si="99"/>
        <v>1.856866851063998E-12</v>
      </c>
      <c r="EM87" s="20">
        <f t="shared" si="73"/>
        <v>3.4554122145673649E-12</v>
      </c>
      <c r="EN87" s="59">
        <f t="shared" si="74"/>
        <v>293.33333333333678</v>
      </c>
      <c r="EO87" s="59">
        <f ca="1">AVERAGE(OFFSET($EN$3,0,0,'Données projet'!$E$15+1,1))-AVERAGE(OFFSET($H$3,0,0,'Données projet'!$E$15+1,1))</f>
        <v>313.36787814924116</v>
      </c>
      <c r="EP87" s="59">
        <f t="shared" si="100"/>
        <v>438.72984487610216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150.82947557124183</v>
      </c>
      <c r="EW87" s="21">
        <f>EXP(-LN(2)/25)*EW86+(1-EXP(-LN(2)/25))/(LN(2)/25)*Calculateur!ER87*Calculateur!ET87*VLOOKUP('Données projet'!$B$15,Paramètres!$A$1:$I$89,3,0)*0.475*44/12</f>
        <v>24.334608511831114</v>
      </c>
      <c r="EX87" s="21">
        <f>EXP(-LN(2)/2)*EX86+(1-EXP(-LN(2)/2))/(LN(2)/2)*ER87*EU87*VLOOKUP('Données projet'!$B$15,Paramètres!$A$1:$I$89,3,0)*0.475*44/12</f>
        <v>2.8937184907478272E-4</v>
      </c>
      <c r="EY87" s="22">
        <f t="shared" si="75"/>
        <v>175.16437345492201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>
        <f>VLOOKUP(A88,'Données projet'!$A$35:$I$55,2,0)</f>
        <v>200</v>
      </c>
      <c r="L88" s="12">
        <f>VLOOKUP(A88,'Données projet'!$A$35:$I$55,9,0)</f>
        <v>4.4000000000000004</v>
      </c>
      <c r="M88" s="12">
        <f t="array" ref="M88">INDEX(L:L,MIN(IF(ISNUMBER(L88:L284),ROW(L88:L284),"")))</f>
        <v>4.4000000000000004</v>
      </c>
      <c r="N88" s="13">
        <f>IF('Données projet'!$A$36&gt;35,N87+M88-V87,IF(A88&lt;'Données projet'!$A$36,$K$205^A88,IF(A88='Données projet'!$A$36,'Données projet'!$B$36,N87+M88-V87)))</f>
        <v>200</v>
      </c>
      <c r="O88" s="13">
        <f>N88*VLOOKUP('Données projet'!$B$9,Paramètres!$A$1:$I$89,3,0)*VLOOKUP('Données projet'!$B$9,Paramètres!$A$1:$I$89,5,0)</f>
        <v>180.95999999999998</v>
      </c>
      <c r="P88" s="13">
        <f t="shared" si="87"/>
        <v>45.53570231487172</v>
      </c>
      <c r="Q88" s="20">
        <f t="shared" si="54"/>
        <v>394.4800148650682</v>
      </c>
      <c r="R88" s="59">
        <f t="shared" si="55"/>
        <v>687.81334819840151</v>
      </c>
      <c r="S88" s="59">
        <f ca="1">AVERAGE(OFFSET($R$3,0,0,'Données projet'!$E$9+1,1))-AVERAGE(OFFSET($H$3,0,0,'Données projet'!$E$9+1,1))</f>
        <v>173.91998182168385</v>
      </c>
      <c r="T88" s="59">
        <f t="shared" si="88"/>
        <v>72.011647893875363</v>
      </c>
      <c r="U88" s="15">
        <f>IF(ISNA(VLOOKUP(A88,'Données projet'!$A$35:$I$55,3,0)),0,VLOOKUP(A88,'Données projet'!$A$35:$I$55,3,0))</f>
        <v>13</v>
      </c>
      <c r="V88" s="15">
        <f>IF(ISNA(VLOOKUP(A88,'Données projet'!$A$35:$I$55,4,0)),0,VLOOKUP(A88,'Données projet'!$A$35:$I$55,4,0))</f>
        <v>14</v>
      </c>
      <c r="W88" s="16">
        <f>IF(ISNA(VLOOKUP(A88,'Données projet'!$A$35:$I$55,5,0)),0%,VLOOKUP(A88,'Données projet'!$A$35:$I$55,5,0)*VLOOKUP('Données projet'!$B$9,Paramètres!$A$1:$I$89,7,0))</f>
        <v>0.25800000000000001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15.959551760267354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15.959551760267354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-2.8421709430404007E-14</v>
      </c>
      <c r="AJ88" s="13">
        <f>AI88*VLOOKUP('Données projet'!$B$10,Paramètres!$A$1:$I$89,3,0)*VLOOKUP('Données projet'!$B$10,Paramètres!$A$1:$I$89,5,0)</f>
        <v>-3.0593128030886874E-14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150.9416300233616</v>
      </c>
      <c r="AO88" s="59">
        <f t="shared" si="90"/>
        <v>92.286636088269972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89.504883925021559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89.504883925021559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-2.8421709430404007E-14</v>
      </c>
      <c r="BE88" s="13">
        <f>BD88*VLOOKUP('Données projet'!$B$11,Paramètres!$A$1:$I$89,3,0)*VLOOKUP('Données projet'!$B$11,Paramètres!$A$1:$I$89,5,0)</f>
        <v>-2.7489477361086758E-14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131.02416800340484</v>
      </c>
      <c r="BJ88" s="59">
        <f t="shared" si="92"/>
        <v>79.394119001888555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80.42467830943967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80.42467830943967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-2.8421709430404007E-14</v>
      </c>
      <c r="BZ88" s="13">
        <f>BY88*VLOOKUP('Données projet'!$B$12,Paramètres!$A$1:$I$89,3,0)*VLOOKUP('Données projet'!$B$12,Paramètres!$A$1:$I$89,5,0)</f>
        <v>-2.5715962692629544E-14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119.62076457560073</v>
      </c>
      <c r="CE88" s="59">
        <f t="shared" si="94"/>
        <v>72.011647893875363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75.235989386249983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75.235989386249983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-2.8421709430404007E-14</v>
      </c>
      <c r="CU88" s="17">
        <f>CT88*VLOOKUP('Données projet'!$B$13,Paramètres!$A$1:$I$89,3,0)*VLOOKUP('Données projet'!$B$13,Paramètres!$A$1:$I$89,5,0)</f>
        <v>-3.0593128030886874E-14</v>
      </c>
      <c r="CV88" s="13" t="e">
        <f t="shared" si="95"/>
        <v>#NUM!</v>
      </c>
      <c r="CW88" s="20" t="e">
        <f t="shared" si="67"/>
        <v>#NUM!</v>
      </c>
      <c r="CX88" s="59" t="e">
        <f t="shared" si="68"/>
        <v>#NUM!</v>
      </c>
      <c r="CY88" s="59">
        <f ca="1">AVERAGE(OFFSET($CX$3,0,0,'Données projet'!$E$13+1,1))-AVERAGE(OFFSET($H$3,0,0,'Données projet'!$E$13+1,1))</f>
        <v>150.9416300233616</v>
      </c>
      <c r="CZ88" s="59">
        <f t="shared" si="96"/>
        <v>92.286636088269972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89.504883925021559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89.504883925021559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439.99999999999943</v>
      </c>
      <c r="DP88" s="17">
        <f>DO88*VLOOKUP('Données projet'!$B$14,Paramètres!$A$1:$I$89,3,0)*VLOOKUP('Données projet'!$B$14,Paramètres!$A$1:$I$89,5,0)</f>
        <v>263.11999999999966</v>
      </c>
      <c r="DQ88" s="13">
        <f t="shared" si="97"/>
        <v>63.386973458751953</v>
      </c>
      <c r="DR88" s="20">
        <f t="shared" si="70"/>
        <v>568.66631210732578</v>
      </c>
      <c r="DS88" s="59">
        <f t="shared" si="71"/>
        <v>861.99964544065915</v>
      </c>
      <c r="DT88" s="59">
        <f ca="1">AVERAGE(OFFSET($DS$3,0,0,'Données projet'!$E$14+1,1))-AVERAGE(OFFSET($H$3,0,0,'Données projet'!$E$14+1,1))</f>
        <v>249.22792522076639</v>
      </c>
      <c r="DU88" s="59">
        <f t="shared" si="98"/>
        <v>244.53725944480669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35.502023971707857</v>
      </c>
      <c r="EB88" s="21">
        <f>EXP(-LN(2)/25)*EB87+(1-EXP(-LN(2)/25))/(LN(2)/25)*Calculateur!DW88*Calculateur!DY88*VLOOKUP('Données projet'!$B$14,Paramètres!$A$1:$I$89,3,0)*0.475*44/12</f>
        <v>11.118680187039429</v>
      </c>
      <c r="EC88" s="21">
        <f>EXP(-LN(2)/2)*EC87+(1-EXP(-LN(2)/2))/(LN(2)/2)*DW88*DZ88*VLOOKUP('Données projet'!$B$14,Paramètres!$A$1:$I$89,3,0)*0.475*44/12</f>
        <v>1.0242267973294987E-2</v>
      </c>
      <c r="ED88" s="22">
        <f t="shared" si="72"/>
        <v>46.630946426720584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2.2737367544323206E-13</v>
      </c>
      <c r="EK88" s="17">
        <f>EJ88*VLOOKUP('Données projet'!$B$15,Paramètres!$A$1:$I$89,3,0)*VLOOKUP('Données projet'!$B$15,Paramètres!$A$1:$I$89,5,0)</f>
        <v>1.2710188457276673E-13</v>
      </c>
      <c r="EL88" s="13">
        <f t="shared" si="99"/>
        <v>1.856866851063998E-12</v>
      </c>
      <c r="EM88" s="20">
        <f t="shared" si="73"/>
        <v>3.4554122145673649E-12</v>
      </c>
      <c r="EN88" s="59">
        <f t="shared" si="74"/>
        <v>293.33333333333678</v>
      </c>
      <c r="EO88" s="59">
        <f ca="1">AVERAGE(OFFSET($EN$3,0,0,'Données projet'!$E$15+1,1))-AVERAGE(OFFSET($H$3,0,0,'Données projet'!$E$15+1,1))</f>
        <v>313.36787814924116</v>
      </c>
      <c r="EP88" s="59">
        <f t="shared" si="100"/>
        <v>438.72984487610216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147.87180155218593</v>
      </c>
      <c r="EW88" s="21">
        <f>EXP(-LN(2)/25)*EW87+(1-EXP(-LN(2)/25))/(LN(2)/25)*Calculateur!ER88*Calculateur!ET88*VLOOKUP('Données projet'!$B$15,Paramètres!$A$1:$I$89,3,0)*0.475*44/12</f>
        <v>23.669177362373649</v>
      </c>
      <c r="EX88" s="21">
        <f>EXP(-LN(2)/2)*EX87+(1-EXP(-LN(2)/2))/(LN(2)/2)*ER88*EU88*VLOOKUP('Données projet'!$B$15,Paramètres!$A$1:$I$89,3,0)*0.475*44/12</f>
        <v>2.0461679676526904E-4</v>
      </c>
      <c r="EY88" s="22">
        <f t="shared" si="75"/>
        <v>171.54118353135635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4.2</v>
      </c>
      <c r="N89" s="13">
        <f>IF('Données projet'!$A$36&gt;35,N88+M89-V88,IF(A89&lt;'Données projet'!$A$36,$K$205^A89,IF(A89='Données projet'!$A$36,'Données projet'!$B$36,N88+M89-V88)))</f>
        <v>190.2</v>
      </c>
      <c r="O89" s="13">
        <f>N89*VLOOKUP('Données projet'!$B$9,Paramètres!$A$1:$I$89,3,0)*VLOOKUP('Données projet'!$B$9,Paramètres!$A$1:$I$89,5,0)</f>
        <v>172.09295999999998</v>
      </c>
      <c r="P89" s="13">
        <f t="shared" si="87"/>
        <v>43.558442654163649</v>
      </c>
      <c r="Q89" s="20">
        <f t="shared" si="54"/>
        <v>375.5928596226683</v>
      </c>
      <c r="R89" s="59">
        <f t="shared" si="55"/>
        <v>668.92619295600161</v>
      </c>
      <c r="S89" s="59">
        <f ca="1">AVERAGE(OFFSET($R$3,0,0,'Données projet'!$E$9+1,1))-AVERAGE(OFFSET($H$3,0,0,'Données projet'!$E$9+1,1))</f>
        <v>173.91998182168385</v>
      </c>
      <c r="T89" s="59">
        <f t="shared" si="88"/>
        <v>72.011647893875363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15.646594684613897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15.646594684613897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-2.8421709430404007E-14</v>
      </c>
      <c r="AJ89" s="13">
        <f>AI89*VLOOKUP('Données projet'!$B$10,Paramètres!$A$1:$I$89,3,0)*VLOOKUP('Données projet'!$B$10,Paramètres!$A$1:$I$89,5,0)</f>
        <v>-3.0593128030886874E-14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150.9416300233616</v>
      </c>
      <c r="AO89" s="59">
        <f t="shared" si="90"/>
        <v>92.286636088269972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87.749747743840516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87.749747743840516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-2.8421709430404007E-14</v>
      </c>
      <c r="BE89" s="13">
        <f>BD89*VLOOKUP('Données projet'!$B$11,Paramètres!$A$1:$I$89,3,0)*VLOOKUP('Données projet'!$B$11,Paramètres!$A$1:$I$89,5,0)</f>
        <v>-2.7489477361086758E-14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131.02416800340484</v>
      </c>
      <c r="BJ89" s="59">
        <f t="shared" si="92"/>
        <v>79.394119001888555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78.847599422001622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78.847599422001622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-2.8421709430404007E-14</v>
      </c>
      <c r="BZ89" s="13">
        <f>BY89*VLOOKUP('Données projet'!$B$12,Paramètres!$A$1:$I$89,3,0)*VLOOKUP('Données projet'!$B$12,Paramètres!$A$1:$I$89,5,0)</f>
        <v>-2.5715962692629544E-14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119.62076457560073</v>
      </c>
      <c r="CE89" s="59">
        <f t="shared" si="94"/>
        <v>72.011647893875363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73.760657523807936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73.760657523807936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-2.8421709430404007E-14</v>
      </c>
      <c r="CU89" s="17">
        <f>CT89*VLOOKUP('Données projet'!$B$13,Paramètres!$A$1:$I$89,3,0)*VLOOKUP('Données projet'!$B$13,Paramètres!$A$1:$I$89,5,0)</f>
        <v>-3.0593128030886874E-14</v>
      </c>
      <c r="CV89" s="13" t="e">
        <f t="shared" si="95"/>
        <v>#NUM!</v>
      </c>
      <c r="CW89" s="20" t="e">
        <f t="shared" si="67"/>
        <v>#NUM!</v>
      </c>
      <c r="CX89" s="59" t="e">
        <f t="shared" si="68"/>
        <v>#NUM!</v>
      </c>
      <c r="CY89" s="59">
        <f ca="1">AVERAGE(OFFSET($CX$3,0,0,'Données projet'!$E$13+1,1))-AVERAGE(OFFSET($H$3,0,0,'Données projet'!$E$13+1,1))</f>
        <v>150.9416300233616</v>
      </c>
      <c r="CZ89" s="59">
        <f t="shared" si="96"/>
        <v>92.286636088269972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87.749747743840516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87.749747743840516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439.99999999999943</v>
      </c>
      <c r="DP89" s="17">
        <f>DO89*VLOOKUP('Données projet'!$B$14,Paramètres!$A$1:$I$89,3,0)*VLOOKUP('Données projet'!$B$14,Paramètres!$A$1:$I$89,5,0)</f>
        <v>263.11999999999966</v>
      </c>
      <c r="DQ89" s="13">
        <f t="shared" si="97"/>
        <v>63.386973458751953</v>
      </c>
      <c r="DR89" s="20">
        <f t="shared" si="70"/>
        <v>568.66631210732578</v>
      </c>
      <c r="DS89" s="59">
        <f t="shared" si="71"/>
        <v>861.99964544065915</v>
      </c>
      <c r="DT89" s="59">
        <f ca="1">AVERAGE(OFFSET($DS$3,0,0,'Données projet'!$E$14+1,1))-AVERAGE(OFFSET($H$3,0,0,'Données projet'!$E$14+1,1))</f>
        <v>249.22792522076639</v>
      </c>
      <c r="DU89" s="59">
        <f t="shared" si="98"/>
        <v>244.53725944480669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34.805850935719121</v>
      </c>
      <c r="EB89" s="21">
        <f>EXP(-LN(2)/25)*EB88+(1-EXP(-LN(2)/25))/(LN(2)/25)*Calculateur!DW89*Calculateur!DY89*VLOOKUP('Données projet'!$B$14,Paramètres!$A$1:$I$89,3,0)*0.475*44/12</f>
        <v>10.814639292618857</v>
      </c>
      <c r="EC89" s="21">
        <f>EXP(-LN(2)/2)*EC88+(1-EXP(-LN(2)/2))/(LN(2)/2)*DW89*DZ89*VLOOKUP('Données projet'!$B$14,Paramètres!$A$1:$I$89,3,0)*0.475*44/12</f>
        <v>7.242377138646683E-3</v>
      </c>
      <c r="ED89" s="22">
        <f t="shared" si="72"/>
        <v>45.627732605476623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2.2737367544323206E-13</v>
      </c>
      <c r="EK89" s="17">
        <f>EJ89*VLOOKUP('Données projet'!$B$15,Paramètres!$A$1:$I$89,3,0)*VLOOKUP('Données projet'!$B$15,Paramètres!$A$1:$I$89,5,0)</f>
        <v>1.2710188457276673E-13</v>
      </c>
      <c r="EL89" s="13">
        <f t="shared" si="99"/>
        <v>1.856866851063998E-12</v>
      </c>
      <c r="EM89" s="20">
        <f t="shared" si="73"/>
        <v>3.4554122145673649E-12</v>
      </c>
      <c r="EN89" s="59">
        <f t="shared" si="74"/>
        <v>293.33333333333678</v>
      </c>
      <c r="EO89" s="59">
        <f ca="1">AVERAGE(OFFSET($EN$3,0,0,'Données projet'!$E$15+1,1))-AVERAGE(OFFSET($H$3,0,0,'Données projet'!$E$15+1,1))</f>
        <v>313.36787814924116</v>
      </c>
      <c r="EP89" s="59">
        <f t="shared" si="100"/>
        <v>438.72984487610216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144.9721257166407</v>
      </c>
      <c r="EW89" s="21">
        <f>EXP(-LN(2)/25)*EW88+(1-EXP(-LN(2)/25))/(LN(2)/25)*Calculateur!ER89*Calculateur!ET89*VLOOKUP('Données projet'!$B$15,Paramètres!$A$1:$I$89,3,0)*0.475*44/12</f>
        <v>23.021942462691602</v>
      </c>
      <c r="EX89" s="21">
        <f>EXP(-LN(2)/2)*EX88+(1-EXP(-LN(2)/2))/(LN(2)/2)*ER89*EU89*VLOOKUP('Données projet'!$B$15,Paramètres!$A$1:$I$89,3,0)*0.475*44/12</f>
        <v>1.4468592453739136E-4</v>
      </c>
      <c r="EY89" s="22">
        <f t="shared" si="75"/>
        <v>167.99421286525686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4.2</v>
      </c>
      <c r="N90" s="13">
        <f>IF('Données projet'!$A$36&gt;35,N89+M90-V89,IF(A90&lt;'Données projet'!$A$36,$K$205^A90,IF(A90='Données projet'!$A$36,'Données projet'!$B$36,N89+M90-V89)))</f>
        <v>194.39999999999998</v>
      </c>
      <c r="O90" s="13">
        <f>N90*VLOOKUP('Données projet'!$B$9,Paramètres!$A$1:$I$89,3,0)*VLOOKUP('Données projet'!$B$9,Paramètres!$A$1:$I$89,5,0)</f>
        <v>175.89311999999998</v>
      </c>
      <c r="P90" s="13">
        <f t="shared" si="87"/>
        <v>44.407257302525892</v>
      </c>
      <c r="Q90" s="20">
        <f t="shared" si="54"/>
        <v>383.68982380189919</v>
      </c>
      <c r="R90" s="59">
        <f t="shared" si="55"/>
        <v>677.02315713523251</v>
      </c>
      <c r="S90" s="59">
        <f ca="1">AVERAGE(OFFSET($R$3,0,0,'Données projet'!$E$9+1,1))-AVERAGE(OFFSET($H$3,0,0,'Données projet'!$E$9+1,1))</f>
        <v>173.91998182168385</v>
      </c>
      <c r="T90" s="59">
        <f t="shared" si="88"/>
        <v>72.011647893875363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15.339774506329036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15.339774506329036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-2.8421709430404007E-14</v>
      </c>
      <c r="AJ90" s="13">
        <f>AI90*VLOOKUP('Données projet'!$B$10,Paramètres!$A$1:$I$89,3,0)*VLOOKUP('Données projet'!$B$10,Paramètres!$A$1:$I$89,5,0)</f>
        <v>-3.0593128030886874E-14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150.9416300233616</v>
      </c>
      <c r="AO90" s="59">
        <f t="shared" si="90"/>
        <v>92.286636088269972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86.029028712645058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86.029028712645058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-2.8421709430404007E-14</v>
      </c>
      <c r="BE90" s="13">
        <f>BD90*VLOOKUP('Données projet'!$B$11,Paramètres!$A$1:$I$89,3,0)*VLOOKUP('Données projet'!$B$11,Paramètres!$A$1:$I$89,5,0)</f>
        <v>-2.7489477361086758E-14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131.02416800340484</v>
      </c>
      <c r="BJ90" s="59">
        <f t="shared" si="92"/>
        <v>79.394119001888555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77.301446089623099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77.301446089623099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-2.8421709430404007E-14</v>
      </c>
      <c r="BZ90" s="13">
        <f>BY90*VLOOKUP('Données projet'!$B$12,Paramètres!$A$1:$I$89,3,0)*VLOOKUP('Données projet'!$B$12,Paramètres!$A$1:$I$89,5,0)</f>
        <v>-2.5715962692629544E-14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119.62076457560073</v>
      </c>
      <c r="CE90" s="59">
        <f t="shared" si="94"/>
        <v>72.011647893875363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72.314256019324802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72.314256019324802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-2.8421709430404007E-14</v>
      </c>
      <c r="CU90" s="17">
        <f>CT90*VLOOKUP('Données projet'!$B$13,Paramètres!$A$1:$I$89,3,0)*VLOOKUP('Données projet'!$B$13,Paramètres!$A$1:$I$89,5,0)</f>
        <v>-3.0593128030886874E-14</v>
      </c>
      <c r="CV90" s="13" t="e">
        <f t="shared" si="95"/>
        <v>#NUM!</v>
      </c>
      <c r="CW90" s="20" t="e">
        <f t="shared" si="67"/>
        <v>#NUM!</v>
      </c>
      <c r="CX90" s="59" t="e">
        <f t="shared" si="68"/>
        <v>#NUM!</v>
      </c>
      <c r="CY90" s="59">
        <f ca="1">AVERAGE(OFFSET($CX$3,0,0,'Données projet'!$E$13+1,1))-AVERAGE(OFFSET($H$3,0,0,'Données projet'!$E$13+1,1))</f>
        <v>150.9416300233616</v>
      </c>
      <c r="CZ90" s="59">
        <f t="shared" si="96"/>
        <v>92.286636088269972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86.029028712645058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86.029028712645058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439.99999999999943</v>
      </c>
      <c r="DP90" s="17">
        <f>DO90*VLOOKUP('Données projet'!$B$14,Paramètres!$A$1:$I$89,3,0)*VLOOKUP('Données projet'!$B$14,Paramètres!$A$1:$I$89,5,0)</f>
        <v>263.11999999999966</v>
      </c>
      <c r="DQ90" s="13">
        <f t="shared" si="97"/>
        <v>63.386973458751953</v>
      </c>
      <c r="DR90" s="20">
        <f t="shared" si="70"/>
        <v>568.66631210732578</v>
      </c>
      <c r="DS90" s="59">
        <f t="shared" si="71"/>
        <v>861.99964544065915</v>
      </c>
      <c r="DT90" s="59">
        <f ca="1">AVERAGE(OFFSET($DS$3,0,0,'Données projet'!$E$14+1,1))-AVERAGE(OFFSET($H$3,0,0,'Données projet'!$E$14+1,1))</f>
        <v>249.22792522076639</v>
      </c>
      <c r="DU90" s="59">
        <f t="shared" si="98"/>
        <v>244.53725944480669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34.123329428342501</v>
      </c>
      <c r="EB90" s="21">
        <f>EXP(-LN(2)/25)*EB89+(1-EXP(-LN(2)/25))/(LN(2)/25)*Calculateur!DW90*Calculateur!DY90*VLOOKUP('Données projet'!$B$14,Paramètres!$A$1:$I$89,3,0)*0.475*44/12</f>
        <v>10.518912412445031</v>
      </c>
      <c r="EC90" s="21">
        <f>EXP(-LN(2)/2)*EC89+(1-EXP(-LN(2)/2))/(LN(2)/2)*DW90*DZ90*VLOOKUP('Données projet'!$B$14,Paramètres!$A$1:$I$89,3,0)*0.475*44/12</f>
        <v>5.1211339866474945E-3</v>
      </c>
      <c r="ED90" s="22">
        <f t="shared" si="72"/>
        <v>44.647362974774182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2.2737367544323206E-13</v>
      </c>
      <c r="EK90" s="17">
        <f>EJ90*VLOOKUP('Données projet'!$B$15,Paramètres!$A$1:$I$89,3,0)*VLOOKUP('Données projet'!$B$15,Paramètres!$A$1:$I$89,5,0)</f>
        <v>1.2710188457276673E-13</v>
      </c>
      <c r="EL90" s="13">
        <f t="shared" si="99"/>
        <v>1.856866851063998E-12</v>
      </c>
      <c r="EM90" s="20">
        <f t="shared" si="73"/>
        <v>3.4554122145673649E-12</v>
      </c>
      <c r="EN90" s="59">
        <f t="shared" si="74"/>
        <v>293.33333333333678</v>
      </c>
      <c r="EO90" s="59">
        <f ca="1">AVERAGE(OFFSET($EN$3,0,0,'Données projet'!$E$15+1,1))-AVERAGE(OFFSET($H$3,0,0,'Données projet'!$E$15+1,1))</f>
        <v>313.36787814924116</v>
      </c>
      <c r="EP90" s="59">
        <f t="shared" si="100"/>
        <v>438.72984487610216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142.12931075560289</v>
      </c>
      <c r="EW90" s="21">
        <f>EXP(-LN(2)/25)*EW89+(1-EXP(-LN(2)/25))/(LN(2)/25)*Calculateur!ER90*Calculateur!ET90*VLOOKUP('Données projet'!$B$15,Paramètres!$A$1:$I$89,3,0)*0.475*44/12</f>
        <v>22.392406235377962</v>
      </c>
      <c r="EX90" s="21">
        <f>EXP(-LN(2)/2)*EX89+(1-EXP(-LN(2)/2))/(LN(2)/2)*ER90*EU90*VLOOKUP('Données projet'!$B$15,Paramètres!$A$1:$I$89,3,0)*0.475*44/12</f>
        <v>1.0230839838263452E-4</v>
      </c>
      <c r="EY90" s="22">
        <f t="shared" si="75"/>
        <v>164.52181929937925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4.2</v>
      </c>
      <c r="N91" s="13">
        <f>IF('Données projet'!$A$36&gt;35,N90+M91-V90,IF(A91&lt;'Données projet'!$A$36,$K$205^A91,IF(A91='Données projet'!$A$36,'Données projet'!$B$36,N90+M91-V90)))</f>
        <v>198.59999999999997</v>
      </c>
      <c r="O91" s="13">
        <f>N91*VLOOKUP('Données projet'!$B$9,Paramètres!$A$1:$I$89,3,0)*VLOOKUP('Données projet'!$B$9,Paramètres!$A$1:$I$89,5,0)</f>
        <v>179.69327999999996</v>
      </c>
      <c r="P91" s="13">
        <f t="shared" si="87"/>
        <v>45.253939845742309</v>
      </c>
      <c r="Q91" s="20">
        <f t="shared" si="54"/>
        <v>391.78307456466774</v>
      </c>
      <c r="R91" s="59">
        <f t="shared" si="55"/>
        <v>685.11640789800106</v>
      </c>
      <c r="S91" s="59">
        <f ca="1">AVERAGE(OFFSET($R$3,0,0,'Données projet'!$E$9+1,1))-AVERAGE(OFFSET($H$3,0,0,'Données projet'!$E$9+1,1))</f>
        <v>173.91998182168385</v>
      </c>
      <c r="T91" s="59">
        <f t="shared" si="88"/>
        <v>72.011647893875363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15.038970884598511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15.038970884598511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-2.8421709430404007E-14</v>
      </c>
      <c r="AJ91" s="13">
        <f>AI91*VLOOKUP('Données projet'!$B$10,Paramètres!$A$1:$I$89,3,0)*VLOOKUP('Données projet'!$B$10,Paramètres!$A$1:$I$89,5,0)</f>
        <v>-3.0593128030886874E-14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150.9416300233616</v>
      </c>
      <c r="AO91" s="59">
        <f t="shared" si="90"/>
        <v>92.286636088269972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84.342051932116377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84.342051932116377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-2.8421709430404007E-14</v>
      </c>
      <c r="BE91" s="13">
        <f>BD91*VLOOKUP('Données projet'!$B$11,Paramètres!$A$1:$I$89,3,0)*VLOOKUP('Données projet'!$B$11,Paramètres!$A$1:$I$89,5,0)</f>
        <v>-2.7489477361086758E-14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131.02416800340484</v>
      </c>
      <c r="BJ91" s="59">
        <f t="shared" si="92"/>
        <v>79.394119001888555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75.785611881032111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75.785611881032111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-2.8421709430404007E-14</v>
      </c>
      <c r="BZ91" s="13">
        <f>BY91*VLOOKUP('Données projet'!$B$12,Paramètres!$A$1:$I$89,3,0)*VLOOKUP('Données projet'!$B$12,Paramètres!$A$1:$I$89,5,0)</f>
        <v>-2.5715962692629544E-14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119.62076457560073</v>
      </c>
      <c r="CE91" s="59">
        <f t="shared" si="94"/>
        <v>72.011647893875363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70.896217566126779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70.896217566126779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-2.8421709430404007E-14</v>
      </c>
      <c r="CU91" s="17">
        <f>CT91*VLOOKUP('Données projet'!$B$13,Paramètres!$A$1:$I$89,3,0)*VLOOKUP('Données projet'!$B$13,Paramètres!$A$1:$I$89,5,0)</f>
        <v>-3.0593128030886874E-14</v>
      </c>
      <c r="CV91" s="13" t="e">
        <f t="shared" si="95"/>
        <v>#NUM!</v>
      </c>
      <c r="CW91" s="20" t="e">
        <f t="shared" si="67"/>
        <v>#NUM!</v>
      </c>
      <c r="CX91" s="59" t="e">
        <f t="shared" si="68"/>
        <v>#NUM!</v>
      </c>
      <c r="CY91" s="59">
        <f ca="1">AVERAGE(OFFSET($CX$3,0,0,'Données projet'!$E$13+1,1))-AVERAGE(OFFSET($H$3,0,0,'Données projet'!$E$13+1,1))</f>
        <v>150.9416300233616</v>
      </c>
      <c r="CZ91" s="59">
        <f t="shared" si="96"/>
        <v>92.286636088269972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84.342051932116377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84.342051932116377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439.99999999999943</v>
      </c>
      <c r="DP91" s="17">
        <f>DO91*VLOOKUP('Données projet'!$B$14,Paramètres!$A$1:$I$89,3,0)*VLOOKUP('Données projet'!$B$14,Paramètres!$A$1:$I$89,5,0)</f>
        <v>263.11999999999966</v>
      </c>
      <c r="DQ91" s="13">
        <f t="shared" si="97"/>
        <v>63.386973458751953</v>
      </c>
      <c r="DR91" s="20">
        <f t="shared" si="70"/>
        <v>568.66631210732578</v>
      </c>
      <c r="DS91" s="59">
        <f t="shared" si="71"/>
        <v>861.99964544065915</v>
      </c>
      <c r="DT91" s="59">
        <f ca="1">AVERAGE(OFFSET($DS$3,0,0,'Données projet'!$E$14+1,1))-AVERAGE(OFFSET($H$3,0,0,'Données projet'!$E$14+1,1))</f>
        <v>249.22792522076639</v>
      </c>
      <c r="DU91" s="59">
        <f t="shared" si="98"/>
        <v>244.53725944480669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33.454191751428525</v>
      </c>
      <c r="EB91" s="21">
        <f>EXP(-LN(2)/25)*EB90+(1-EXP(-LN(2)/25))/(LN(2)/25)*Calculateur!DW91*Calculateur!DY91*VLOOKUP('Données projet'!$B$14,Paramètres!$A$1:$I$89,3,0)*0.475*44/12</f>
        <v>10.231272199361159</v>
      </c>
      <c r="EC91" s="21">
        <f>EXP(-LN(2)/2)*EC90+(1-EXP(-LN(2)/2))/(LN(2)/2)*DW91*DZ91*VLOOKUP('Données projet'!$B$14,Paramètres!$A$1:$I$89,3,0)*0.475*44/12</f>
        <v>3.621188569323342E-3</v>
      </c>
      <c r="ED91" s="22">
        <f t="shared" si="72"/>
        <v>43.689085139359008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2.2737367544323206E-13</v>
      </c>
      <c r="EK91" s="17">
        <f>EJ91*VLOOKUP('Données projet'!$B$15,Paramètres!$A$1:$I$89,3,0)*VLOOKUP('Données projet'!$B$15,Paramètres!$A$1:$I$89,5,0)</f>
        <v>1.2710188457276673E-13</v>
      </c>
      <c r="EL91" s="13">
        <f t="shared" si="99"/>
        <v>1.856866851063998E-12</v>
      </c>
      <c r="EM91" s="20">
        <f t="shared" si="73"/>
        <v>3.4554122145673649E-12</v>
      </c>
      <c r="EN91" s="59">
        <f t="shared" si="74"/>
        <v>293.33333333333678</v>
      </c>
      <c r="EO91" s="59">
        <f ca="1">AVERAGE(OFFSET($EN$3,0,0,'Données projet'!$E$15+1,1))-AVERAGE(OFFSET($H$3,0,0,'Données projet'!$E$15+1,1))</f>
        <v>313.36787814924116</v>
      </c>
      <c r="EP91" s="59">
        <f t="shared" si="100"/>
        <v>438.72984487610216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139.34224166200511</v>
      </c>
      <c r="EW91" s="21">
        <f>EXP(-LN(2)/25)*EW90+(1-EXP(-LN(2)/25))/(LN(2)/25)*Calculateur!ER91*Calculateur!ET91*VLOOKUP('Données projet'!$B$15,Paramètres!$A$1:$I$89,3,0)*0.475*44/12</f>
        <v>21.780084709306085</v>
      </c>
      <c r="EX91" s="21">
        <f>EXP(-LN(2)/2)*EX90+(1-EXP(-LN(2)/2))/(LN(2)/2)*ER91*EU91*VLOOKUP('Données projet'!$B$15,Paramètres!$A$1:$I$89,3,0)*0.475*44/12</f>
        <v>7.2342962268695681E-5</v>
      </c>
      <c r="EY91" s="22">
        <f t="shared" si="75"/>
        <v>161.12239871427346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4.2</v>
      </c>
      <c r="N92" s="13">
        <f>IF('Données projet'!$A$36&gt;35,N91+M92-V91,IF(A92&lt;'Données projet'!$A$36,$K$205^A92,IF(A92='Données projet'!$A$36,'Données projet'!$B$36,N91+M92-V91)))</f>
        <v>202.79999999999995</v>
      </c>
      <c r="O92" s="13">
        <f>N92*VLOOKUP('Données projet'!$B$9,Paramètres!$A$1:$I$89,3,0)*VLOOKUP('Données projet'!$B$9,Paramètres!$A$1:$I$89,5,0)</f>
        <v>183.49343999999996</v>
      </c>
      <c r="P92" s="13">
        <f t="shared" si="87"/>
        <v>46.09854056776922</v>
      </c>
      <c r="Q92" s="20">
        <f t="shared" si="54"/>
        <v>399.87269948886461</v>
      </c>
      <c r="R92" s="59">
        <f t="shared" si="55"/>
        <v>693.20603282219793</v>
      </c>
      <c r="S92" s="59">
        <f ca="1">AVERAGE(OFFSET($R$3,0,0,'Données projet'!$E$9+1,1))-AVERAGE(OFFSET($H$3,0,0,'Données projet'!$E$9+1,1))</f>
        <v>173.91998182168385</v>
      </c>
      <c r="T92" s="59">
        <f t="shared" si="88"/>
        <v>72.011647893875363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14.744065838418027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14.744065838418027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-2.8421709430404007E-14</v>
      </c>
      <c r="AJ92" s="13">
        <f>AI92*VLOOKUP('Données projet'!$B$10,Paramètres!$A$1:$I$89,3,0)*VLOOKUP('Données projet'!$B$10,Paramètres!$A$1:$I$89,5,0)</f>
        <v>-3.0593128030886874E-14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150.9416300233616</v>
      </c>
      <c r="AO92" s="59">
        <f t="shared" si="90"/>
        <v>92.286636088269972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82.688155737299624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82.688155737299624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-2.8421709430404007E-14</v>
      </c>
      <c r="BE92" s="13">
        <f>BD92*VLOOKUP('Données projet'!$B$11,Paramètres!$A$1:$I$89,3,0)*VLOOKUP('Données projet'!$B$11,Paramètres!$A$1:$I$89,5,0)</f>
        <v>-2.7489477361086758E-14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131.02416800340484</v>
      </c>
      <c r="BJ92" s="59">
        <f t="shared" si="92"/>
        <v>79.394119001888555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74.299502256704017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74.299502256704017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-2.8421709430404007E-14</v>
      </c>
      <c r="BZ92" s="13">
        <f>BY92*VLOOKUP('Données projet'!$B$12,Paramètres!$A$1:$I$89,3,0)*VLOOKUP('Données projet'!$B$12,Paramètres!$A$1:$I$89,5,0)</f>
        <v>-2.5715962692629544E-14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119.62076457560073</v>
      </c>
      <c r="CE92" s="59">
        <f t="shared" si="94"/>
        <v>72.011647893875363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69.505985982077917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69.505985982077917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-2.8421709430404007E-14</v>
      </c>
      <c r="CU92" s="17">
        <f>CT92*VLOOKUP('Données projet'!$B$13,Paramètres!$A$1:$I$89,3,0)*VLOOKUP('Données projet'!$B$13,Paramètres!$A$1:$I$89,5,0)</f>
        <v>-3.0593128030886874E-14</v>
      </c>
      <c r="CV92" s="13" t="e">
        <f t="shared" si="95"/>
        <v>#NUM!</v>
      </c>
      <c r="CW92" s="20" t="e">
        <f t="shared" si="67"/>
        <v>#NUM!</v>
      </c>
      <c r="CX92" s="59" t="e">
        <f t="shared" si="68"/>
        <v>#NUM!</v>
      </c>
      <c r="CY92" s="59">
        <f ca="1">AVERAGE(OFFSET($CX$3,0,0,'Données projet'!$E$13+1,1))-AVERAGE(OFFSET($H$3,0,0,'Données projet'!$E$13+1,1))</f>
        <v>150.9416300233616</v>
      </c>
      <c r="CZ92" s="59">
        <f t="shared" si="96"/>
        <v>92.286636088269972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82.688155737299624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82.688155737299624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439.99999999999943</v>
      </c>
      <c r="DP92" s="17">
        <f>DO92*VLOOKUP('Données projet'!$B$14,Paramètres!$A$1:$I$89,3,0)*VLOOKUP('Données projet'!$B$14,Paramètres!$A$1:$I$89,5,0)</f>
        <v>263.11999999999966</v>
      </c>
      <c r="DQ92" s="13">
        <f t="shared" si="97"/>
        <v>63.386973458751953</v>
      </c>
      <c r="DR92" s="20">
        <f t="shared" si="70"/>
        <v>568.66631210732578</v>
      </c>
      <c r="DS92" s="59">
        <f t="shared" si="71"/>
        <v>861.99964544065915</v>
      </c>
      <c r="DT92" s="59">
        <f ca="1">AVERAGE(OFFSET($DS$3,0,0,'Données projet'!$E$14+1,1))-AVERAGE(OFFSET($H$3,0,0,'Données projet'!$E$14+1,1))</f>
        <v>249.22792522076639</v>
      </c>
      <c r="DU92" s="59">
        <f t="shared" si="98"/>
        <v>244.53725944480669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32.798175456225152</v>
      </c>
      <c r="EB92" s="21">
        <f>EXP(-LN(2)/25)*EB91+(1-EXP(-LN(2)/25))/(LN(2)/25)*Calculateur!DW92*Calculateur!DY92*VLOOKUP('Données projet'!$B$14,Paramètres!$A$1:$I$89,3,0)*0.475*44/12</f>
        <v>9.9514975230304081</v>
      </c>
      <c r="EC92" s="21">
        <f>EXP(-LN(2)/2)*EC91+(1-EXP(-LN(2)/2))/(LN(2)/2)*DW92*DZ92*VLOOKUP('Données projet'!$B$14,Paramètres!$A$1:$I$89,3,0)*0.475*44/12</f>
        <v>2.5605669933237477E-3</v>
      </c>
      <c r="ED92" s="22">
        <f t="shared" si="72"/>
        <v>42.752233546248888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2.2737367544323206E-13</v>
      </c>
      <c r="EK92" s="17">
        <f>EJ92*VLOOKUP('Données projet'!$B$15,Paramètres!$A$1:$I$89,3,0)*VLOOKUP('Données projet'!$B$15,Paramètres!$A$1:$I$89,5,0)</f>
        <v>1.2710188457276673E-13</v>
      </c>
      <c r="EL92" s="13">
        <f t="shared" si="99"/>
        <v>1.856866851063998E-12</v>
      </c>
      <c r="EM92" s="20">
        <f t="shared" si="73"/>
        <v>3.4554122145673649E-12</v>
      </c>
      <c r="EN92" s="59">
        <f t="shared" si="74"/>
        <v>293.33333333333678</v>
      </c>
      <c r="EO92" s="59">
        <f ca="1">AVERAGE(OFFSET($EN$3,0,0,'Données projet'!$E$15+1,1))-AVERAGE(OFFSET($H$3,0,0,'Données projet'!$E$15+1,1))</f>
        <v>313.36787814924116</v>
      </c>
      <c r="EP92" s="59">
        <f t="shared" si="100"/>
        <v>438.72984487610216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136.6098252933885</v>
      </c>
      <c r="EW92" s="21">
        <f>EXP(-LN(2)/25)*EW91+(1-EXP(-LN(2)/25))/(LN(2)/25)*Calculateur!ER92*Calculateur!ET92*VLOOKUP('Données projet'!$B$15,Paramètres!$A$1:$I$89,3,0)*0.475*44/12</f>
        <v>21.184507147565235</v>
      </c>
      <c r="EX92" s="21">
        <f>EXP(-LN(2)/2)*EX91+(1-EXP(-LN(2)/2))/(LN(2)/2)*ER92*EU92*VLOOKUP('Données projet'!$B$15,Paramètres!$A$1:$I$89,3,0)*0.475*44/12</f>
        <v>5.1154199191317261E-5</v>
      </c>
      <c r="EY92" s="22">
        <f t="shared" si="75"/>
        <v>157.79438359515291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207</v>
      </c>
      <c r="L93" s="12">
        <f>VLOOKUP(A93,'Données projet'!$A$35:$I$55,9,0)</f>
        <v>4.2</v>
      </c>
      <c r="M93" s="12">
        <f t="array" ref="M93">INDEX(L:L,MIN(IF(ISNUMBER(L93:L289),ROW(L93:L289),"")))</f>
        <v>4.2</v>
      </c>
      <c r="N93" s="13">
        <f>IF('Données projet'!$A$36&gt;35,N92+M93-V92,IF(A93&lt;'Données projet'!$A$36,$K$205^A93,IF(A93='Données projet'!$A$36,'Données projet'!$B$36,N92+M93-V92)))</f>
        <v>206.99999999999994</v>
      </c>
      <c r="O93" s="13">
        <f>N93*VLOOKUP('Données projet'!$B$9,Paramètres!$A$1:$I$89,3,0)*VLOOKUP('Données projet'!$B$9,Paramètres!$A$1:$I$89,5,0)</f>
        <v>187.29359999999994</v>
      </c>
      <c r="P93" s="13">
        <f t="shared" si="87"/>
        <v>46.941107550760421</v>
      </c>
      <c r="Q93" s="20">
        <f t="shared" si="54"/>
        <v>407.95878231757433</v>
      </c>
      <c r="R93" s="59">
        <f t="shared" si="55"/>
        <v>701.29211565090759</v>
      </c>
      <c r="S93" s="59">
        <f ca="1">AVERAGE(OFFSET($R$3,0,0,'Données projet'!$E$9+1,1))-AVERAGE(OFFSET($H$3,0,0,'Données projet'!$E$9+1,1))</f>
        <v>173.91998182168385</v>
      </c>
      <c r="T93" s="59">
        <f t="shared" si="88"/>
        <v>72.011647893875363</v>
      </c>
      <c r="U93" s="15">
        <f>IF(ISNA(VLOOKUP(A93,'Données projet'!$A$35:$I$55,3,0)),0,VLOOKUP(A93,'Données projet'!$A$35:$I$55,3,0))</f>
        <v>14</v>
      </c>
      <c r="V93" s="15">
        <f>IF(ISNA(VLOOKUP(A93,'Données projet'!$A$35:$I$55,4,0)),0,VLOOKUP(A93,'Données projet'!$A$35:$I$55,4,0))</f>
        <v>14</v>
      </c>
      <c r="W93" s="16">
        <f>IF(ISNA(VLOOKUP(A93,'Données projet'!$A$35:$I$55,5,0)),0%,VLOOKUP(A93,'Données projet'!$A$35:$I$55,5,0)*VLOOKUP('Données projet'!$B$9,Paramètres!$A$1:$I$89,7,0))</f>
        <v>0.25800000000000001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18.067773013356732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18.067773013356732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-2.8421709430404007E-14</v>
      </c>
      <c r="AJ93" s="13">
        <f>AI93*VLOOKUP('Données projet'!$B$10,Paramètres!$A$1:$I$89,3,0)*VLOOKUP('Données projet'!$B$10,Paramètres!$A$1:$I$89,5,0)</f>
        <v>-3.0593128030886874E-14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150.9416300233616</v>
      </c>
      <c r="AO93" s="59">
        <f t="shared" si="90"/>
        <v>92.286636088269972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81.066691438086153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81.066691438086153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-2.8421709430404007E-14</v>
      </c>
      <c r="BE93" s="13">
        <f>BD93*VLOOKUP('Données projet'!$B$11,Paramètres!$A$1:$I$89,3,0)*VLOOKUP('Données projet'!$B$11,Paramètres!$A$1:$I$89,5,0)</f>
        <v>-2.7489477361086758E-14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131.02416800340484</v>
      </c>
      <c r="BJ93" s="59">
        <f t="shared" si="92"/>
        <v>79.394119001888555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72.84253433567163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72.84253433567163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-2.8421709430404007E-14</v>
      </c>
      <c r="BZ93" s="13">
        <f>BY93*VLOOKUP('Données projet'!$B$12,Paramètres!$A$1:$I$89,3,0)*VLOOKUP('Données projet'!$B$12,Paramètres!$A$1:$I$89,5,0)</f>
        <v>-2.5715962692629544E-14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119.62076457560073</v>
      </c>
      <c r="CE93" s="59">
        <f t="shared" si="94"/>
        <v>72.011647893875363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68.143015991434709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68.143015991434709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-2.8421709430404007E-14</v>
      </c>
      <c r="CU93" s="17">
        <f>CT93*VLOOKUP('Données projet'!$B$13,Paramètres!$A$1:$I$89,3,0)*VLOOKUP('Données projet'!$B$13,Paramètres!$A$1:$I$89,5,0)</f>
        <v>-3.0593128030886874E-14</v>
      </c>
      <c r="CV93" s="13" t="e">
        <f t="shared" si="95"/>
        <v>#NUM!</v>
      </c>
      <c r="CW93" s="20" t="e">
        <f t="shared" si="67"/>
        <v>#NUM!</v>
      </c>
      <c r="CX93" s="59" t="e">
        <f t="shared" si="68"/>
        <v>#NUM!</v>
      </c>
      <c r="CY93" s="59">
        <f ca="1">AVERAGE(OFFSET($CX$3,0,0,'Données projet'!$E$13+1,1))-AVERAGE(OFFSET($H$3,0,0,'Données projet'!$E$13+1,1))</f>
        <v>150.9416300233616</v>
      </c>
      <c r="CZ93" s="59">
        <f t="shared" si="96"/>
        <v>92.286636088269972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81.066691438086153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81.066691438086153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439.99999999999943</v>
      </c>
      <c r="DP93" s="17">
        <f>DO93*VLOOKUP('Données projet'!$B$14,Paramètres!$A$1:$I$89,3,0)*VLOOKUP('Données projet'!$B$14,Paramètres!$A$1:$I$89,5,0)</f>
        <v>263.11999999999966</v>
      </c>
      <c r="DQ93" s="13">
        <f t="shared" si="97"/>
        <v>63.386973458751953</v>
      </c>
      <c r="DR93" s="20">
        <f t="shared" si="70"/>
        <v>568.66631210732578</v>
      </c>
      <c r="DS93" s="59">
        <f t="shared" si="71"/>
        <v>861.99964544065915</v>
      </c>
      <c r="DT93" s="59">
        <f ca="1">AVERAGE(OFFSET($DS$3,0,0,'Données projet'!$E$14+1,1))-AVERAGE(OFFSET($H$3,0,0,'Données projet'!$E$14+1,1))</f>
        <v>249.22792522076639</v>
      </c>
      <c r="DU93" s="59">
        <f t="shared" si="98"/>
        <v>244.53725944480669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32.155023240440286</v>
      </c>
      <c r="EB93" s="21">
        <f>EXP(-LN(2)/25)*EB92+(1-EXP(-LN(2)/25))/(LN(2)/25)*Calculateur!DW93*Calculateur!DY93*VLOOKUP('Données projet'!$B$14,Paramètres!$A$1:$I$89,3,0)*0.475*44/12</f>
        <v>9.679373299936632</v>
      </c>
      <c r="EC93" s="21">
        <f>EXP(-LN(2)/2)*EC92+(1-EXP(-LN(2)/2))/(LN(2)/2)*DW93*DZ93*VLOOKUP('Données projet'!$B$14,Paramètres!$A$1:$I$89,3,0)*0.475*44/12</f>
        <v>1.8105942846616712E-3</v>
      </c>
      <c r="ED93" s="22">
        <f t="shared" si="72"/>
        <v>41.836207134661578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2.2737367544323206E-13</v>
      </c>
      <c r="EK93" s="17">
        <f>EJ93*VLOOKUP('Données projet'!$B$15,Paramètres!$A$1:$I$89,3,0)*VLOOKUP('Données projet'!$B$15,Paramètres!$A$1:$I$89,5,0)</f>
        <v>1.2710188457276673E-13</v>
      </c>
      <c r="EL93" s="13">
        <f t="shared" si="99"/>
        <v>1.856866851063998E-12</v>
      </c>
      <c r="EM93" s="20">
        <f t="shared" si="73"/>
        <v>3.4554122145673649E-12</v>
      </c>
      <c r="EN93" s="59">
        <f t="shared" si="74"/>
        <v>293.33333333333678</v>
      </c>
      <c r="EO93" s="59">
        <f ca="1">AVERAGE(OFFSET($EN$3,0,0,'Données projet'!$E$15+1,1))-AVERAGE(OFFSET($H$3,0,0,'Données projet'!$E$15+1,1))</f>
        <v>313.36787814924116</v>
      </c>
      <c r="EP93" s="59">
        <f t="shared" si="100"/>
        <v>438.72984487610216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133.93098994315105</v>
      </c>
      <c r="EW93" s="21">
        <f>EXP(-LN(2)/25)*EW92+(1-EXP(-LN(2)/25))/(LN(2)/25)*Calculateur!ER93*Calculateur!ET93*VLOOKUP('Données projet'!$B$15,Paramètres!$A$1:$I$89,3,0)*0.475*44/12</f>
        <v>20.605215685570251</v>
      </c>
      <c r="EX93" s="21">
        <f>EXP(-LN(2)/2)*EX92+(1-EXP(-LN(2)/2))/(LN(2)/2)*ER93*EU93*VLOOKUP('Données projet'!$B$15,Paramètres!$A$1:$I$89,3,0)*0.475*44/12</f>
        <v>3.617148113434784E-5</v>
      </c>
      <c r="EY93" s="22">
        <f t="shared" si="75"/>
        <v>154.53624180020242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2.2999999999999998</v>
      </c>
      <c r="N94" s="13">
        <f>IF('Données projet'!$A$36&gt;35,N93+M94-V93,IF(A94&lt;'Données projet'!$A$36,$K$205^A94,IF(A94='Données projet'!$A$36,'Données projet'!$B$36,N93+M94-V93)))</f>
        <v>195.29999999999995</v>
      </c>
      <c r="O94" s="13">
        <f>N94*VLOOKUP('Données projet'!$B$9,Paramètres!$A$1:$I$89,3,0)*VLOOKUP('Données projet'!$B$9,Paramètres!$A$1:$I$89,5,0)</f>
        <v>176.70743999999996</v>
      </c>
      <c r="P94" s="13">
        <f t="shared" si="87"/>
        <v>44.588867016385301</v>
      </c>
      <c r="Q94" s="20">
        <f t="shared" si="54"/>
        <v>385.42440138687101</v>
      </c>
      <c r="R94" s="59">
        <f t="shared" si="55"/>
        <v>678.75773472020433</v>
      </c>
      <c r="S94" s="59">
        <f ca="1">AVERAGE(OFFSET($R$3,0,0,'Données projet'!$E$9+1,1))-AVERAGE(OFFSET($H$3,0,0,'Données projet'!$E$9+1,1))</f>
        <v>173.91998182168385</v>
      </c>
      <c r="T94" s="59">
        <f t="shared" si="88"/>
        <v>72.011647893875363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17.713475004818186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17.713475004818186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-2.8421709430404007E-14</v>
      </c>
      <c r="AJ94" s="13">
        <f>AI94*VLOOKUP('Données projet'!$B$10,Paramètres!$A$1:$I$89,3,0)*VLOOKUP('Données projet'!$B$10,Paramètres!$A$1:$I$89,5,0)</f>
        <v>-3.0593128030886874E-14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150.9416300233616</v>
      </c>
      <c r="AO94" s="59">
        <f t="shared" si="90"/>
        <v>92.286636088269972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79.477023064784689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79.477023064784689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-2.8421709430404007E-14</v>
      </c>
      <c r="BE94" s="13">
        <f>BD94*VLOOKUP('Données projet'!$B$11,Paramètres!$A$1:$I$89,3,0)*VLOOKUP('Données projet'!$B$11,Paramètres!$A$1:$I$89,5,0)</f>
        <v>-2.7489477361086758E-14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131.02416800340484</v>
      </c>
      <c r="BJ94" s="59">
        <f t="shared" si="92"/>
        <v>79.394119001888555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71.414136666907993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71.414136666907993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-2.8421709430404007E-14</v>
      </c>
      <c r="BZ94" s="13">
        <f>BY94*VLOOKUP('Données projet'!$B$12,Paramètres!$A$1:$I$89,3,0)*VLOOKUP('Données projet'!$B$12,Paramètres!$A$1:$I$89,5,0)</f>
        <v>-2.5715962692629544E-14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119.62076457560073</v>
      </c>
      <c r="CE94" s="59">
        <f t="shared" si="94"/>
        <v>72.011647893875363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66.806773010978404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66.806773010978404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-2.8421709430404007E-14</v>
      </c>
      <c r="CU94" s="17">
        <f>CT94*VLOOKUP('Données projet'!$B$13,Paramètres!$A$1:$I$89,3,0)*VLOOKUP('Données projet'!$B$13,Paramètres!$A$1:$I$89,5,0)</f>
        <v>-3.0593128030886874E-14</v>
      </c>
      <c r="CV94" s="13" t="e">
        <f t="shared" si="95"/>
        <v>#NUM!</v>
      </c>
      <c r="CW94" s="20" t="e">
        <f t="shared" si="67"/>
        <v>#NUM!</v>
      </c>
      <c r="CX94" s="59" t="e">
        <f t="shared" si="68"/>
        <v>#NUM!</v>
      </c>
      <c r="CY94" s="59">
        <f ca="1">AVERAGE(OFFSET($CX$3,0,0,'Données projet'!$E$13+1,1))-AVERAGE(OFFSET($H$3,0,0,'Données projet'!$E$13+1,1))</f>
        <v>150.9416300233616</v>
      </c>
      <c r="CZ94" s="59">
        <f t="shared" si="96"/>
        <v>92.286636088269972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79.477023064784689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79.477023064784689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439.99999999999943</v>
      </c>
      <c r="DP94" s="17">
        <f>DO94*VLOOKUP('Données projet'!$B$14,Paramètres!$A$1:$I$89,3,0)*VLOOKUP('Données projet'!$B$14,Paramètres!$A$1:$I$89,5,0)</f>
        <v>263.11999999999966</v>
      </c>
      <c r="DQ94" s="13">
        <f t="shared" si="97"/>
        <v>63.386973458751953</v>
      </c>
      <c r="DR94" s="20">
        <f t="shared" si="70"/>
        <v>568.66631210732578</v>
      </c>
      <c r="DS94" s="59">
        <f t="shared" si="71"/>
        <v>861.99964544065915</v>
      </c>
      <c r="DT94" s="59">
        <f ca="1">AVERAGE(OFFSET($DS$3,0,0,'Données projet'!$E$14+1,1))-AVERAGE(OFFSET($H$3,0,0,'Données projet'!$E$14+1,1))</f>
        <v>249.22792522076639</v>
      </c>
      <c r="DU94" s="59">
        <f t="shared" si="98"/>
        <v>244.53725944480669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31.524482847322844</v>
      </c>
      <c r="EB94" s="21">
        <f>EXP(-LN(2)/25)*EB93+(1-EXP(-LN(2)/25))/(LN(2)/25)*Calculateur!DW94*Calculateur!DY94*VLOOKUP('Données projet'!$B$14,Paramètres!$A$1:$I$89,3,0)*0.475*44/12</f>
        <v>9.4146903280337462</v>
      </c>
      <c r="EC94" s="21">
        <f>EXP(-LN(2)/2)*EC93+(1-EXP(-LN(2)/2))/(LN(2)/2)*DW94*DZ94*VLOOKUP('Données projet'!$B$14,Paramètres!$A$1:$I$89,3,0)*0.475*44/12</f>
        <v>1.2802834966618739E-3</v>
      </c>
      <c r="ED94" s="22">
        <f t="shared" si="72"/>
        <v>40.940453458853248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2.2737367544323206E-13</v>
      </c>
      <c r="EK94" s="17">
        <f>EJ94*VLOOKUP('Données projet'!$B$15,Paramètres!$A$1:$I$89,3,0)*VLOOKUP('Données projet'!$B$15,Paramètres!$A$1:$I$89,5,0)</f>
        <v>1.2710188457276673E-13</v>
      </c>
      <c r="EL94" s="13">
        <f t="shared" si="99"/>
        <v>1.856866851063998E-12</v>
      </c>
      <c r="EM94" s="20">
        <f t="shared" si="73"/>
        <v>3.4554122145673649E-12</v>
      </c>
      <c r="EN94" s="59">
        <f t="shared" si="74"/>
        <v>293.33333333333678</v>
      </c>
      <c r="EO94" s="59">
        <f ca="1">AVERAGE(OFFSET($EN$3,0,0,'Données projet'!$E$15+1,1))-AVERAGE(OFFSET($H$3,0,0,'Données projet'!$E$15+1,1))</f>
        <v>313.36787814924116</v>
      </c>
      <c r="EP94" s="59">
        <f t="shared" si="100"/>
        <v>438.72984487610216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131.30468492020353</v>
      </c>
      <c r="EW94" s="21">
        <f>EXP(-LN(2)/25)*EW93+(1-EXP(-LN(2)/25))/(LN(2)/25)*Calculateur!ER94*Calculateur!ET94*VLOOKUP('Données projet'!$B$15,Paramètres!$A$1:$I$89,3,0)*0.475*44/12</f>
        <v>20.041764979067132</v>
      </c>
      <c r="EX94" s="21">
        <f>EXP(-LN(2)/2)*EX93+(1-EXP(-LN(2)/2))/(LN(2)/2)*ER94*EU94*VLOOKUP('Données projet'!$B$15,Paramètres!$A$1:$I$89,3,0)*0.475*44/12</f>
        <v>2.5577099595658631E-5</v>
      </c>
      <c r="EY94" s="22">
        <f t="shared" si="75"/>
        <v>151.34647547637024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2.2999999999999998</v>
      </c>
      <c r="N95" s="13">
        <f>IF('Données projet'!$A$36&gt;35,N94+M95-V94,IF(A95&lt;'Données projet'!$A$36,$K$205^A95,IF(A95='Données projet'!$A$36,'Données projet'!$B$36,N94+M95-V94)))</f>
        <v>197.59999999999997</v>
      </c>
      <c r="O95" s="13">
        <f>N95*VLOOKUP('Données projet'!$B$9,Paramètres!$A$1:$I$89,3,0)*VLOOKUP('Données projet'!$B$9,Paramètres!$A$1:$I$89,5,0)</f>
        <v>178.78847999999996</v>
      </c>
      <c r="P95" s="13">
        <f t="shared" si="87"/>
        <v>45.052539436241446</v>
      </c>
      <c r="Q95" s="20">
        <f t="shared" si="54"/>
        <v>389.85644218478711</v>
      </c>
      <c r="R95" s="59">
        <f t="shared" si="55"/>
        <v>683.18977551812043</v>
      </c>
      <c r="S95" s="59">
        <f ca="1">AVERAGE(OFFSET($R$3,0,0,'Données projet'!$E$9+1,1))-AVERAGE(OFFSET($H$3,0,0,'Données projet'!$E$9+1,1))</f>
        <v>173.91998182168385</v>
      </c>
      <c r="T95" s="59">
        <f t="shared" si="88"/>
        <v>72.011647893875363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17.366124564126633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17.366124564126633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-2.8421709430404007E-14</v>
      </c>
      <c r="AJ95" s="13">
        <f>AI95*VLOOKUP('Données projet'!$B$10,Paramètres!$A$1:$I$89,3,0)*VLOOKUP('Données projet'!$B$10,Paramètres!$A$1:$I$89,5,0)</f>
        <v>-3.0593128030886874E-14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150.9416300233616</v>
      </c>
      <c r="AO95" s="59">
        <f t="shared" si="90"/>
        <v>92.286636088269972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77.918527118681709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77.918527118681709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-2.8421709430404007E-14</v>
      </c>
      <c r="BE95" s="13">
        <f>BD95*VLOOKUP('Données projet'!$B$11,Paramètres!$A$1:$I$89,3,0)*VLOOKUP('Données projet'!$B$11,Paramètres!$A$1:$I$89,5,0)</f>
        <v>-2.7489477361086758E-14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131.02416800340484</v>
      </c>
      <c r="BJ95" s="59">
        <f t="shared" si="92"/>
        <v>79.394119001888555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70.013749005192267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70.013749005192267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-2.8421709430404007E-14</v>
      </c>
      <c r="BZ95" s="13">
        <f>BY95*VLOOKUP('Données projet'!$B$12,Paramètres!$A$1:$I$89,3,0)*VLOOKUP('Données projet'!$B$12,Paramètres!$A$1:$I$89,5,0)</f>
        <v>-2.5715962692629544E-14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119.62076457560073</v>
      </c>
      <c r="CE95" s="59">
        <f t="shared" si="94"/>
        <v>72.011647893875363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65.496732940341118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65.496732940341118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-2.8421709430404007E-14</v>
      </c>
      <c r="CU95" s="17">
        <f>CT95*VLOOKUP('Données projet'!$B$13,Paramètres!$A$1:$I$89,3,0)*VLOOKUP('Données projet'!$B$13,Paramètres!$A$1:$I$89,5,0)</f>
        <v>-3.0593128030886874E-14</v>
      </c>
      <c r="CV95" s="13" t="e">
        <f t="shared" si="95"/>
        <v>#NUM!</v>
      </c>
      <c r="CW95" s="20" t="e">
        <f t="shared" si="67"/>
        <v>#NUM!</v>
      </c>
      <c r="CX95" s="59" t="e">
        <f t="shared" si="68"/>
        <v>#NUM!</v>
      </c>
      <c r="CY95" s="59">
        <f ca="1">AVERAGE(OFFSET($CX$3,0,0,'Données projet'!$E$13+1,1))-AVERAGE(OFFSET($H$3,0,0,'Données projet'!$E$13+1,1))</f>
        <v>150.9416300233616</v>
      </c>
      <c r="CZ95" s="59">
        <f t="shared" si="96"/>
        <v>92.286636088269972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77.918527118681709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77.918527118681709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439.99999999999943</v>
      </c>
      <c r="DP95" s="17">
        <f>DO95*VLOOKUP('Données projet'!$B$14,Paramètres!$A$1:$I$89,3,0)*VLOOKUP('Données projet'!$B$14,Paramètres!$A$1:$I$89,5,0)</f>
        <v>263.11999999999966</v>
      </c>
      <c r="DQ95" s="13">
        <f t="shared" si="97"/>
        <v>63.386973458751953</v>
      </c>
      <c r="DR95" s="20">
        <f t="shared" si="70"/>
        <v>568.66631210732578</v>
      </c>
      <c r="DS95" s="59">
        <f t="shared" si="71"/>
        <v>861.99964544065915</v>
      </c>
      <c r="DT95" s="59">
        <f ca="1">AVERAGE(OFFSET($DS$3,0,0,'Données projet'!$E$14+1,1))-AVERAGE(OFFSET($H$3,0,0,'Données projet'!$E$14+1,1))</f>
        <v>249.22792522076639</v>
      </c>
      <c r="DU95" s="59">
        <f t="shared" si="98"/>
        <v>244.53725944480669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30.90630696672277</v>
      </c>
      <c r="EB95" s="21">
        <f>EXP(-LN(2)/25)*EB94+(1-EXP(-LN(2)/25))/(LN(2)/25)*Calculateur!DW95*Calculateur!DY95*VLOOKUP('Données projet'!$B$14,Paramètres!$A$1:$I$89,3,0)*0.475*44/12</f>
        <v>9.1572451259166172</v>
      </c>
      <c r="EC95" s="21">
        <f>EXP(-LN(2)/2)*EC94+(1-EXP(-LN(2)/2))/(LN(2)/2)*DW95*DZ95*VLOOKUP('Données projet'!$B$14,Paramètres!$A$1:$I$89,3,0)*0.475*44/12</f>
        <v>9.052971423308356E-4</v>
      </c>
      <c r="ED95" s="22">
        <f t="shared" si="72"/>
        <v>40.064457389781715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2.2737367544323206E-13</v>
      </c>
      <c r="EK95" s="17">
        <f>EJ95*VLOOKUP('Données projet'!$B$15,Paramètres!$A$1:$I$89,3,0)*VLOOKUP('Données projet'!$B$15,Paramètres!$A$1:$I$89,5,0)</f>
        <v>1.2710188457276673E-13</v>
      </c>
      <c r="EL95" s="13">
        <f t="shared" si="99"/>
        <v>1.856866851063998E-12</v>
      </c>
      <c r="EM95" s="20">
        <f t="shared" si="73"/>
        <v>3.4554122145673649E-12</v>
      </c>
      <c r="EN95" s="59">
        <f t="shared" si="74"/>
        <v>293.33333333333678</v>
      </c>
      <c r="EO95" s="59">
        <f ca="1">AVERAGE(OFFSET($EN$3,0,0,'Données projet'!$E$15+1,1))-AVERAGE(OFFSET($H$3,0,0,'Données projet'!$E$15+1,1))</f>
        <v>313.36787814924116</v>
      </c>
      <c r="EP95" s="59">
        <f t="shared" si="100"/>
        <v>438.72984487610216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128.7298801368681</v>
      </c>
      <c r="EW95" s="21">
        <f>EXP(-LN(2)/25)*EW94+(1-EXP(-LN(2)/25))/(LN(2)/25)*Calculateur!ER95*Calculateur!ET95*VLOOKUP('Données projet'!$B$15,Paramètres!$A$1:$I$89,3,0)*0.475*44/12</f>
        <v>19.493721861763927</v>
      </c>
      <c r="EX95" s="21">
        <f>EXP(-LN(2)/2)*EX94+(1-EXP(-LN(2)/2))/(LN(2)/2)*ER95*EU95*VLOOKUP('Données projet'!$B$15,Paramètres!$A$1:$I$89,3,0)*0.475*44/12</f>
        <v>1.808574056717392E-5</v>
      </c>
      <c r="EY95" s="22">
        <f t="shared" si="75"/>
        <v>148.22362008437261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2.2999999999999998</v>
      </c>
      <c r="N96" s="13">
        <f>IF('Données projet'!$A$36&gt;35,N95+M96-V95,IF(A96&lt;'Données projet'!$A$36,$K$205^A96,IF(A96='Données projet'!$A$36,'Données projet'!$B$36,N95+M96-V95)))</f>
        <v>199.89999999999998</v>
      </c>
      <c r="O96" s="13">
        <f>N96*VLOOKUP('Données projet'!$B$9,Paramètres!$A$1:$I$89,3,0)*VLOOKUP('Données projet'!$B$9,Paramètres!$A$1:$I$89,5,0)</f>
        <v>180.86951999999997</v>
      </c>
      <c r="P96" s="13">
        <f t="shared" si="87"/>
        <v>45.515584056055815</v>
      </c>
      <c r="Q96" s="20">
        <f t="shared" si="54"/>
        <v>394.28738956429714</v>
      </c>
      <c r="R96" s="59">
        <f t="shared" si="55"/>
        <v>687.62072289763046</v>
      </c>
      <c r="S96" s="59">
        <f ca="1">AVERAGE(OFFSET($R$3,0,0,'Données projet'!$E$9+1,1))-AVERAGE(OFFSET($H$3,0,0,'Données projet'!$E$9+1,1))</f>
        <v>173.91998182168385</v>
      </c>
      <c r="T96" s="59">
        <f t="shared" si="88"/>
        <v>72.011647893875363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17.025585453714193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17.025585453714193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-2.8421709430404007E-14</v>
      </c>
      <c r="AJ96" s="13">
        <f>AI96*VLOOKUP('Données projet'!$B$10,Paramètres!$A$1:$I$89,3,0)*VLOOKUP('Données projet'!$B$10,Paramètres!$A$1:$I$89,5,0)</f>
        <v>-3.0593128030886874E-14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150.9416300233616</v>
      </c>
      <c r="AO96" s="59">
        <f t="shared" si="90"/>
        <v>92.286636088269972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76.390592327493138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76.390592327493138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-2.8421709430404007E-14</v>
      </c>
      <c r="BE96" s="13">
        <f>BD96*VLOOKUP('Données projet'!$B$11,Paramètres!$A$1:$I$89,3,0)*VLOOKUP('Données projet'!$B$11,Paramètres!$A$1:$I$89,5,0)</f>
        <v>-2.7489477361086758E-14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131.02416800340484</v>
      </c>
      <c r="BJ96" s="59">
        <f t="shared" si="92"/>
        <v>79.394119001888555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68.640822091370651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68.640822091370651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-2.8421709430404007E-14</v>
      </c>
      <c r="BZ96" s="13">
        <f>BY96*VLOOKUP('Données projet'!$B$12,Paramètres!$A$1:$I$89,3,0)*VLOOKUP('Données projet'!$B$12,Paramètres!$A$1:$I$89,5,0)</f>
        <v>-2.5715962692629544E-14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119.62076457560073</v>
      </c>
      <c r="CE96" s="59">
        <f t="shared" si="94"/>
        <v>72.011647893875363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64.21238195644348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64.21238195644348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-2.8421709430404007E-14</v>
      </c>
      <c r="CU96" s="17">
        <f>CT96*VLOOKUP('Données projet'!$B$13,Paramètres!$A$1:$I$89,3,0)*VLOOKUP('Données projet'!$B$13,Paramètres!$A$1:$I$89,5,0)</f>
        <v>-3.0593128030886874E-14</v>
      </c>
      <c r="CV96" s="13" t="e">
        <f t="shared" si="95"/>
        <v>#NUM!</v>
      </c>
      <c r="CW96" s="20" t="e">
        <f t="shared" si="67"/>
        <v>#NUM!</v>
      </c>
      <c r="CX96" s="59" t="e">
        <f t="shared" si="68"/>
        <v>#NUM!</v>
      </c>
      <c r="CY96" s="59">
        <f ca="1">AVERAGE(OFFSET($CX$3,0,0,'Données projet'!$E$13+1,1))-AVERAGE(OFFSET($H$3,0,0,'Données projet'!$E$13+1,1))</f>
        <v>150.9416300233616</v>
      </c>
      <c r="CZ96" s="59">
        <f t="shared" si="96"/>
        <v>92.286636088269972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76.390592327493138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76.390592327493138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439.99999999999943</v>
      </c>
      <c r="DP96" s="17">
        <f>DO96*VLOOKUP('Données projet'!$B$14,Paramètres!$A$1:$I$89,3,0)*VLOOKUP('Données projet'!$B$14,Paramètres!$A$1:$I$89,5,0)</f>
        <v>263.11999999999966</v>
      </c>
      <c r="DQ96" s="13">
        <f t="shared" si="97"/>
        <v>63.386973458751953</v>
      </c>
      <c r="DR96" s="20">
        <f t="shared" si="70"/>
        <v>568.66631210732578</v>
      </c>
      <c r="DS96" s="59">
        <f t="shared" si="71"/>
        <v>861.99964544065915</v>
      </c>
      <c r="DT96" s="59">
        <f ca="1">AVERAGE(OFFSET($DS$3,0,0,'Données projet'!$E$14+1,1))-AVERAGE(OFFSET($H$3,0,0,'Données projet'!$E$14+1,1))</f>
        <v>249.22792522076639</v>
      </c>
      <c r="DU96" s="59">
        <f t="shared" si="98"/>
        <v>244.53725944480669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30.300253138091207</v>
      </c>
      <c r="EB96" s="21">
        <f>EXP(-LN(2)/25)*EB95+(1-EXP(-LN(2)/25))/(LN(2)/25)*Calculateur!DW96*Calculateur!DY96*VLOOKUP('Données projet'!$B$14,Paramètres!$A$1:$I$89,3,0)*0.475*44/12</f>
        <v>8.9068397763898357</v>
      </c>
      <c r="EC96" s="21">
        <f>EXP(-LN(2)/2)*EC95+(1-EXP(-LN(2)/2))/(LN(2)/2)*DW96*DZ96*VLOOKUP('Données projet'!$B$14,Paramètres!$A$1:$I$89,3,0)*0.475*44/12</f>
        <v>6.4014174833093693E-4</v>
      </c>
      <c r="ED96" s="22">
        <f t="shared" si="72"/>
        <v>39.207733056229372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2.2737367544323206E-13</v>
      </c>
      <c r="EK96" s="17">
        <f>EJ96*VLOOKUP('Données projet'!$B$15,Paramètres!$A$1:$I$89,3,0)*VLOOKUP('Données projet'!$B$15,Paramètres!$A$1:$I$89,5,0)</f>
        <v>1.2710188457276673E-13</v>
      </c>
      <c r="EL96" s="13">
        <f t="shared" si="99"/>
        <v>1.856866851063998E-12</v>
      </c>
      <c r="EM96" s="20">
        <f t="shared" si="73"/>
        <v>3.4554122145673649E-12</v>
      </c>
      <c r="EN96" s="59">
        <f t="shared" si="74"/>
        <v>293.33333333333678</v>
      </c>
      <c r="EO96" s="59">
        <f ca="1">AVERAGE(OFFSET($EN$3,0,0,'Données projet'!$E$15+1,1))-AVERAGE(OFFSET($H$3,0,0,'Données projet'!$E$15+1,1))</f>
        <v>313.36787814924116</v>
      </c>
      <c r="EP96" s="59">
        <f t="shared" si="100"/>
        <v>438.72984487610216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126.20556570485805</v>
      </c>
      <c r="EW96" s="21">
        <f>EXP(-LN(2)/25)*EW95+(1-EXP(-LN(2)/25))/(LN(2)/25)*Calculateur!ER96*Calculateur!ET96*VLOOKUP('Données projet'!$B$15,Paramètres!$A$1:$I$89,3,0)*0.475*44/12</f>
        <v>18.960665012323712</v>
      </c>
      <c r="EX96" s="21">
        <f>EXP(-LN(2)/2)*EX95+(1-EXP(-LN(2)/2))/(LN(2)/2)*ER96*EU96*VLOOKUP('Données projet'!$B$15,Paramètres!$A$1:$I$89,3,0)*0.475*44/12</f>
        <v>1.2788549797829315E-5</v>
      </c>
      <c r="EY96" s="22">
        <f t="shared" si="75"/>
        <v>145.16624350573156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2.2999999999999998</v>
      </c>
      <c r="N97" s="13">
        <f>IF('Données projet'!$A$36&gt;35,N96+M97-V96,IF(A97&lt;'Données projet'!$A$36,$K$205^A97,IF(A97='Données projet'!$A$36,'Données projet'!$B$36,N96+M97-V96)))</f>
        <v>202.2</v>
      </c>
      <c r="O97" s="13">
        <f>N97*VLOOKUP('Données projet'!$B$9,Paramètres!$A$1:$I$89,3,0)*VLOOKUP('Données projet'!$B$9,Paramètres!$A$1:$I$89,5,0)</f>
        <v>182.95055999999997</v>
      </c>
      <c r="P97" s="13">
        <f t="shared" si="87"/>
        <v>45.978008934894007</v>
      </c>
      <c r="Q97" s="20">
        <f t="shared" si="54"/>
        <v>398.71725756160703</v>
      </c>
      <c r="R97" s="59">
        <f t="shared" si="55"/>
        <v>692.05059089494034</v>
      </c>
      <c r="S97" s="59">
        <f ca="1">AVERAGE(OFFSET($R$3,0,0,'Données projet'!$E$9+1,1))-AVERAGE(OFFSET($H$3,0,0,'Données projet'!$E$9+1,1))</f>
        <v>173.91998182168385</v>
      </c>
      <c r="T97" s="59">
        <f t="shared" si="88"/>
        <v>72.011647893875363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16.691724107548591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16.691724107548591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-2.8421709430404007E-14</v>
      </c>
      <c r="AJ97" s="13">
        <f>AI97*VLOOKUP('Données projet'!$B$10,Paramètres!$A$1:$I$89,3,0)*VLOOKUP('Données projet'!$B$10,Paramètres!$A$1:$I$89,5,0)</f>
        <v>-3.0593128030886874E-14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150.9416300233616</v>
      </c>
      <c r="AO97" s="59">
        <f t="shared" si="90"/>
        <v>92.286636088269972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74.892619405611569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74.892619405611569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-2.8421709430404007E-14</v>
      </c>
      <c r="BE97" s="13">
        <f>BD97*VLOOKUP('Données projet'!$B$11,Paramètres!$A$1:$I$89,3,0)*VLOOKUP('Données projet'!$B$11,Paramètres!$A$1:$I$89,5,0)</f>
        <v>-2.7489477361086758E-14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131.02416800340484</v>
      </c>
      <c r="BJ97" s="59">
        <f t="shared" si="92"/>
        <v>79.394119001888555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67.294817436926351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67.294817436926351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-2.8421709430404007E-14</v>
      </c>
      <c r="BZ97" s="13">
        <f>BY97*VLOOKUP('Données projet'!$B$12,Paramètres!$A$1:$I$89,3,0)*VLOOKUP('Données projet'!$B$12,Paramètres!$A$1:$I$89,5,0)</f>
        <v>-2.5715962692629544E-14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119.62076457560073</v>
      </c>
      <c r="CE97" s="59">
        <f t="shared" si="94"/>
        <v>72.011647893875363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62.953216311963324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62.953216311963324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-2.8421709430404007E-14</v>
      </c>
      <c r="CU97" s="17">
        <f>CT97*VLOOKUP('Données projet'!$B$13,Paramètres!$A$1:$I$89,3,0)*VLOOKUP('Données projet'!$B$13,Paramètres!$A$1:$I$89,5,0)</f>
        <v>-3.0593128030886874E-14</v>
      </c>
      <c r="CV97" s="13" t="e">
        <f t="shared" si="95"/>
        <v>#NUM!</v>
      </c>
      <c r="CW97" s="20" t="e">
        <f t="shared" si="67"/>
        <v>#NUM!</v>
      </c>
      <c r="CX97" s="59" t="e">
        <f t="shared" si="68"/>
        <v>#NUM!</v>
      </c>
      <c r="CY97" s="59">
        <f ca="1">AVERAGE(OFFSET($CX$3,0,0,'Données projet'!$E$13+1,1))-AVERAGE(OFFSET($H$3,0,0,'Données projet'!$E$13+1,1))</f>
        <v>150.9416300233616</v>
      </c>
      <c r="CZ97" s="59">
        <f t="shared" si="96"/>
        <v>92.286636088269972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74.892619405611569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74.892619405611569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439.99999999999943</v>
      </c>
      <c r="DP97" s="17">
        <f>DO97*VLOOKUP('Données projet'!$B$14,Paramètres!$A$1:$I$89,3,0)*VLOOKUP('Données projet'!$B$14,Paramètres!$A$1:$I$89,5,0)</f>
        <v>263.11999999999966</v>
      </c>
      <c r="DQ97" s="13">
        <f t="shared" si="97"/>
        <v>63.386973458751953</v>
      </c>
      <c r="DR97" s="20">
        <f t="shared" si="70"/>
        <v>568.66631210732578</v>
      </c>
      <c r="DS97" s="59">
        <f t="shared" si="71"/>
        <v>861.99964544065915</v>
      </c>
      <c r="DT97" s="59">
        <f ca="1">AVERAGE(OFFSET($DS$3,0,0,'Données projet'!$E$14+1,1))-AVERAGE(OFFSET($H$3,0,0,'Données projet'!$E$14+1,1))</f>
        <v>249.22792522076639</v>
      </c>
      <c r="DU97" s="59">
        <f t="shared" si="98"/>
        <v>244.53725944480669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29.706083655382773</v>
      </c>
      <c r="EB97" s="21">
        <f>EXP(-LN(2)/25)*EB96+(1-EXP(-LN(2)/25))/(LN(2)/25)*Calculateur!DW97*Calculateur!DY97*VLOOKUP('Données projet'!$B$14,Paramètres!$A$1:$I$89,3,0)*0.475*44/12</f>
        <v>8.6632817743141093</v>
      </c>
      <c r="EC97" s="21">
        <f>EXP(-LN(2)/2)*EC96+(1-EXP(-LN(2)/2))/(LN(2)/2)*DW97*DZ97*VLOOKUP('Données projet'!$B$14,Paramètres!$A$1:$I$89,3,0)*0.475*44/12</f>
        <v>4.526485711654178E-4</v>
      </c>
      <c r="ED97" s="22">
        <f t="shared" si="72"/>
        <v>38.369818078268047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2.2737367544323206E-13</v>
      </c>
      <c r="EK97" s="17">
        <f>EJ97*VLOOKUP('Données projet'!$B$15,Paramètres!$A$1:$I$89,3,0)*VLOOKUP('Données projet'!$B$15,Paramètres!$A$1:$I$89,5,0)</f>
        <v>1.2710188457276673E-13</v>
      </c>
      <c r="EL97" s="13">
        <f t="shared" si="99"/>
        <v>1.856866851063998E-12</v>
      </c>
      <c r="EM97" s="20">
        <f t="shared" si="73"/>
        <v>3.4554122145673649E-12</v>
      </c>
      <c r="EN97" s="59">
        <f t="shared" si="74"/>
        <v>293.33333333333678</v>
      </c>
      <c r="EO97" s="59">
        <f ca="1">AVERAGE(OFFSET($EN$3,0,0,'Données projet'!$E$15+1,1))-AVERAGE(OFFSET($H$3,0,0,'Données projet'!$E$15+1,1))</f>
        <v>313.36787814924116</v>
      </c>
      <c r="EP97" s="59">
        <f t="shared" si="100"/>
        <v>438.72984487610216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123.73075153917993</v>
      </c>
      <c r="EW97" s="21">
        <f>EXP(-LN(2)/25)*EW96+(1-EXP(-LN(2)/25))/(LN(2)/25)*Calculateur!ER97*Calculateur!ET97*VLOOKUP('Données projet'!$B$15,Paramètres!$A$1:$I$89,3,0)*0.475*44/12</f>
        <v>18.442184630463682</v>
      </c>
      <c r="EX97" s="21">
        <f>EXP(-LN(2)/2)*EX96+(1-EXP(-LN(2)/2))/(LN(2)/2)*ER97*EU97*VLOOKUP('Données projet'!$B$15,Paramètres!$A$1:$I$89,3,0)*0.475*44/12</f>
        <v>9.0428702835869601E-6</v>
      </c>
      <c r="EY97" s="22">
        <f t="shared" si="75"/>
        <v>142.17294521251389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2.2999999999999998</v>
      </c>
      <c r="N98" s="13">
        <f>IF('Données projet'!$A$36&gt;35,N97+M98-V97,IF(A98&lt;'Données projet'!$A$36,$K$205^A98,IF(A98='Données projet'!$A$36,'Données projet'!$B$36,N97+M98-V97)))</f>
        <v>204.5</v>
      </c>
      <c r="O98" s="13">
        <f>N98*VLOOKUP('Données projet'!$B$9,Paramètres!$A$1:$I$89,3,0)*VLOOKUP('Données projet'!$B$9,Paramètres!$A$1:$I$89,5,0)</f>
        <v>185.0316</v>
      </c>
      <c r="P98" s="13">
        <f t="shared" si="87"/>
        <v>46.439821937925259</v>
      </c>
      <c r="Q98" s="20">
        <f t="shared" si="54"/>
        <v>403.14605987521981</v>
      </c>
      <c r="R98" s="59">
        <f t="shared" si="55"/>
        <v>696.47939320855312</v>
      </c>
      <c r="S98" s="59">
        <f ca="1">AVERAGE(OFFSET($R$3,0,0,'Données projet'!$E$9+1,1))-AVERAGE(OFFSET($H$3,0,0,'Données projet'!$E$9+1,1))</f>
        <v>173.91998182168385</v>
      </c>
      <c r="T98" s="59">
        <f t="shared" si="88"/>
        <v>72.011647893875363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16.364409578745985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16.364409578745985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-2.8421709430404007E-14</v>
      </c>
      <c r="AJ98" s="13">
        <f>AI98*VLOOKUP('Données projet'!$B$10,Paramètres!$A$1:$I$89,3,0)*VLOOKUP('Données projet'!$B$10,Paramètres!$A$1:$I$89,5,0)</f>
        <v>-3.0593128030886874E-14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150.9416300233616</v>
      </c>
      <c r="AO98" s="59">
        <f t="shared" si="90"/>
        <v>92.286636088269972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73.424020819054846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73.424020819054846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-2.8421709430404007E-14</v>
      </c>
      <c r="BE98" s="13">
        <f>BD98*VLOOKUP('Données projet'!$B$11,Paramètres!$A$1:$I$89,3,0)*VLOOKUP('Données projet'!$B$11,Paramètres!$A$1:$I$89,5,0)</f>
        <v>-2.7489477361086758E-14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131.02416800340484</v>
      </c>
      <c r="BJ98" s="59">
        <f t="shared" si="92"/>
        <v>79.394119001888555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65.97520711277393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65.97520711277393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-2.8421709430404007E-14</v>
      </c>
      <c r="BZ98" s="13">
        <f>BY98*VLOOKUP('Données projet'!$B$12,Paramètres!$A$1:$I$89,3,0)*VLOOKUP('Données projet'!$B$12,Paramètres!$A$1:$I$89,5,0)</f>
        <v>-2.5715962692629544E-14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119.62076457560073</v>
      </c>
      <c r="CE98" s="59">
        <f t="shared" si="94"/>
        <v>72.011647893875363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61.718742137756216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61.718742137756216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-2.8421709430404007E-14</v>
      </c>
      <c r="CU98" s="17">
        <f>CT98*VLOOKUP('Données projet'!$B$13,Paramètres!$A$1:$I$89,3,0)*VLOOKUP('Données projet'!$B$13,Paramètres!$A$1:$I$89,5,0)</f>
        <v>-3.0593128030886874E-14</v>
      </c>
      <c r="CV98" s="13" t="e">
        <f t="shared" si="95"/>
        <v>#NUM!</v>
      </c>
      <c r="CW98" s="20" t="e">
        <f t="shared" si="67"/>
        <v>#NUM!</v>
      </c>
      <c r="CX98" s="59" t="e">
        <f t="shared" si="68"/>
        <v>#NUM!</v>
      </c>
      <c r="CY98" s="59">
        <f ca="1">AVERAGE(OFFSET($CX$3,0,0,'Données projet'!$E$13+1,1))-AVERAGE(OFFSET($H$3,0,0,'Données projet'!$E$13+1,1))</f>
        <v>150.9416300233616</v>
      </c>
      <c r="CZ98" s="59">
        <f t="shared" si="96"/>
        <v>92.286636088269972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73.424020819054846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73.424020819054846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439.99999999999943</v>
      </c>
      <c r="DP98" s="17">
        <f>DO98*VLOOKUP('Données projet'!$B$14,Paramètres!$A$1:$I$89,3,0)*VLOOKUP('Données projet'!$B$14,Paramètres!$A$1:$I$89,5,0)</f>
        <v>263.11999999999966</v>
      </c>
      <c r="DQ98" s="13">
        <f t="shared" si="97"/>
        <v>63.386973458751953</v>
      </c>
      <c r="DR98" s="20">
        <f t="shared" si="70"/>
        <v>568.66631210732578</v>
      </c>
      <c r="DS98" s="59">
        <f t="shared" si="71"/>
        <v>861.99964544065915</v>
      </c>
      <c r="DT98" s="59">
        <f ca="1">AVERAGE(OFFSET($DS$3,0,0,'Données projet'!$E$14+1,1))-AVERAGE(OFFSET($H$3,0,0,'Données projet'!$E$14+1,1))</f>
        <v>249.22792522076639</v>
      </c>
      <c r="DU98" s="59">
        <f t="shared" si="98"/>
        <v>244.53725944480669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29.123565473822651</v>
      </c>
      <c r="EB98" s="21">
        <f>EXP(-LN(2)/25)*EB97+(1-EXP(-LN(2)/25))/(LN(2)/25)*Calculateur!DW98*Calculateur!DY98*VLOOKUP('Données projet'!$B$14,Paramètres!$A$1:$I$89,3,0)*0.475*44/12</f>
        <v>8.4263838786133025</v>
      </c>
      <c r="EC98" s="21">
        <f>EXP(-LN(2)/2)*EC97+(1-EXP(-LN(2)/2))/(LN(2)/2)*DW98*DZ98*VLOOKUP('Données projet'!$B$14,Paramètres!$A$1:$I$89,3,0)*0.475*44/12</f>
        <v>3.2007087416546846E-4</v>
      </c>
      <c r="ED98" s="22">
        <f t="shared" si="72"/>
        <v>37.55026942331012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2.2737367544323206E-13</v>
      </c>
      <c r="EK98" s="17">
        <f>EJ98*VLOOKUP('Données projet'!$B$15,Paramètres!$A$1:$I$89,3,0)*VLOOKUP('Données projet'!$B$15,Paramètres!$A$1:$I$89,5,0)</f>
        <v>1.2710188457276673E-13</v>
      </c>
      <c r="EL98" s="13">
        <f t="shared" si="99"/>
        <v>1.856866851063998E-12</v>
      </c>
      <c r="EM98" s="20">
        <f t="shared" si="73"/>
        <v>3.4554122145673649E-12</v>
      </c>
      <c r="EN98" s="59">
        <f t="shared" si="74"/>
        <v>293.33333333333678</v>
      </c>
      <c r="EO98" s="59">
        <f ca="1">AVERAGE(OFFSET($EN$3,0,0,'Données projet'!$E$15+1,1))-AVERAGE(OFFSET($H$3,0,0,'Données projet'!$E$15+1,1))</f>
        <v>313.36787814924116</v>
      </c>
      <c r="EP98" s="59">
        <f t="shared" si="100"/>
        <v>438.72984487610216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121.30446696980317</v>
      </c>
      <c r="EW98" s="21">
        <f>EXP(-LN(2)/25)*EW97+(1-EXP(-LN(2)/25))/(LN(2)/25)*Calculateur!ER98*Calculateur!ET98*VLOOKUP('Données projet'!$B$15,Paramètres!$A$1:$I$89,3,0)*0.475*44/12</f>
        <v>17.937882121911315</v>
      </c>
      <c r="EX98" s="21">
        <f>EXP(-LN(2)/2)*EX97+(1-EXP(-LN(2)/2))/(LN(2)/2)*ER98*EU98*VLOOKUP('Données projet'!$B$15,Paramètres!$A$1:$I$89,3,0)*0.475*44/12</f>
        <v>6.3942748989146576E-6</v>
      </c>
      <c r="EY98" s="22">
        <f t="shared" si="75"/>
        <v>139.24235548598938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2.2999999999999998</v>
      </c>
      <c r="N99" s="13">
        <f>IF('Données projet'!$A$36&gt;35,N98+M99-V98,IF(A99&lt;'Données projet'!$A$36,$K$205^A99,IF(A99='Données projet'!$A$36,'Données projet'!$B$36,N98+M99-V98)))</f>
        <v>206.8</v>
      </c>
      <c r="O99" s="13">
        <f>N99*VLOOKUP('Données projet'!$B$9,Paramètres!$A$1:$I$89,3,0)*VLOOKUP('Données projet'!$B$9,Paramètres!$A$1:$I$89,5,0)</f>
        <v>187.11264</v>
      </c>
      <c r="P99" s="13">
        <f t="shared" si="87"/>
        <v>46.901030743214655</v>
      </c>
      <c r="Q99" s="20">
        <f t="shared" ref="Q99:Q130" si="107">(O99+P99)*0.475*44/12</f>
        <v>407.57380987776543</v>
      </c>
      <c r="R99" s="59">
        <f t="shared" si="55"/>
        <v>700.90714321109874</v>
      </c>
      <c r="S99" s="59">
        <f ca="1">AVERAGE(OFFSET($R$3,0,0,'Données projet'!$E$9+1,1))-AVERAGE(OFFSET($H$3,0,0,'Données projet'!$E$9+1,1))</f>
        <v>173.91998182168385</v>
      </c>
      <c r="T99" s="59">
        <f t="shared" si="88"/>
        <v>72.011647893875363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16.043513488211048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16.043513488211048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-2.8421709430404007E-14</v>
      </c>
      <c r="AJ99" s="13">
        <f>AI99*VLOOKUP('Données projet'!$B$10,Paramètres!$A$1:$I$89,3,0)*VLOOKUP('Données projet'!$B$10,Paramètres!$A$1:$I$89,5,0)</f>
        <v>-3.0593128030886874E-14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150.9416300233616</v>
      </c>
      <c r="AO99" s="59">
        <f t="shared" si="90"/>
        <v>92.286636088269972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71.984220555023811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71.984220555023811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-2.8421709430404007E-14</v>
      </c>
      <c r="BE99" s="13">
        <f>BD99*VLOOKUP('Données projet'!$B$11,Paramètres!$A$1:$I$89,3,0)*VLOOKUP('Données projet'!$B$11,Paramètres!$A$1:$I$89,5,0)</f>
        <v>-2.7489477361086758E-14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131.02416800340484</v>
      </c>
      <c r="BJ99" s="59">
        <f t="shared" si="92"/>
        <v>79.394119001888555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64.681473542195306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64.681473542195306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-2.8421709430404007E-14</v>
      </c>
      <c r="BZ99" s="13">
        <f>BY99*VLOOKUP('Données projet'!$B$12,Paramètres!$A$1:$I$89,3,0)*VLOOKUP('Données projet'!$B$12,Paramètres!$A$1:$I$89,5,0)</f>
        <v>-2.5715962692629544E-14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119.62076457560073</v>
      </c>
      <c r="CE99" s="59">
        <f t="shared" si="94"/>
        <v>72.011647893875363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60.508475249150415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60.508475249150415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-2.8421709430404007E-14</v>
      </c>
      <c r="CU99" s="17">
        <f>CT99*VLOOKUP('Données projet'!$B$13,Paramètres!$A$1:$I$89,3,0)*VLOOKUP('Données projet'!$B$13,Paramètres!$A$1:$I$89,5,0)</f>
        <v>-3.0593128030886874E-14</v>
      </c>
      <c r="CV99" s="13" t="e">
        <f t="shared" si="95"/>
        <v>#NUM!</v>
      </c>
      <c r="CW99" s="20" t="e">
        <f t="shared" si="67"/>
        <v>#NUM!</v>
      </c>
      <c r="CX99" s="59" t="e">
        <f t="shared" si="68"/>
        <v>#NUM!</v>
      </c>
      <c r="CY99" s="59">
        <f ca="1">AVERAGE(OFFSET($CX$3,0,0,'Données projet'!$E$13+1,1))-AVERAGE(OFFSET($H$3,0,0,'Données projet'!$E$13+1,1))</f>
        <v>150.9416300233616</v>
      </c>
      <c r="CZ99" s="59">
        <f t="shared" si="96"/>
        <v>92.286636088269972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71.984220555023811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71.984220555023811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439.99999999999943</v>
      </c>
      <c r="DP99" s="17">
        <f>DO99*VLOOKUP('Données projet'!$B$14,Paramètres!$A$1:$I$89,3,0)*VLOOKUP('Données projet'!$B$14,Paramètres!$A$1:$I$89,5,0)</f>
        <v>263.11999999999966</v>
      </c>
      <c r="DQ99" s="13">
        <f t="shared" si="97"/>
        <v>63.386973458751953</v>
      </c>
      <c r="DR99" s="20">
        <f t="shared" si="70"/>
        <v>568.66631210732578</v>
      </c>
      <c r="DS99" s="59">
        <f t="shared" si="71"/>
        <v>861.99964544065915</v>
      </c>
      <c r="DT99" s="59">
        <f ca="1">AVERAGE(OFFSET($DS$3,0,0,'Données projet'!$E$14+1,1))-AVERAGE(OFFSET($H$3,0,0,'Données projet'!$E$14+1,1))</f>
        <v>249.22792522076639</v>
      </c>
      <c r="DU99" s="59">
        <f t="shared" si="98"/>
        <v>244.53725944480669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28.552470118501915</v>
      </c>
      <c r="EB99" s="21">
        <f>EXP(-LN(2)/25)*EB98+(1-EXP(-LN(2)/25))/(LN(2)/25)*Calculateur!DW99*Calculateur!DY99*VLOOKUP('Données projet'!$B$14,Paramètres!$A$1:$I$89,3,0)*0.475*44/12</f>
        <v>8.1959639683283516</v>
      </c>
      <c r="EC99" s="21">
        <f>EXP(-LN(2)/2)*EC98+(1-EXP(-LN(2)/2))/(LN(2)/2)*DW99*DZ99*VLOOKUP('Données projet'!$B$14,Paramètres!$A$1:$I$89,3,0)*0.475*44/12</f>
        <v>2.263242855827089E-4</v>
      </c>
      <c r="ED99" s="22">
        <f t="shared" si="72"/>
        <v>36.74866041111585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2.2737367544323206E-13</v>
      </c>
      <c r="EK99" s="17">
        <f>EJ99*VLOOKUP('Données projet'!$B$15,Paramètres!$A$1:$I$89,3,0)*VLOOKUP('Données projet'!$B$15,Paramètres!$A$1:$I$89,5,0)</f>
        <v>1.2710188457276673E-13</v>
      </c>
      <c r="EL99" s="13">
        <f t="shared" si="99"/>
        <v>1.856866851063998E-12</v>
      </c>
      <c r="EM99" s="20">
        <f t="shared" si="73"/>
        <v>3.4554122145673649E-12</v>
      </c>
      <c r="EN99" s="59">
        <f t="shared" si="74"/>
        <v>293.33333333333678</v>
      </c>
      <c r="EO99" s="59">
        <f ca="1">AVERAGE(OFFSET($EN$3,0,0,'Données projet'!$E$15+1,1))-AVERAGE(OFFSET($H$3,0,0,'Données projet'!$E$15+1,1))</f>
        <v>313.36787814924116</v>
      </c>
      <c r="EP99" s="59">
        <f t="shared" si="100"/>
        <v>438.72984487610216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118.92576036094444</v>
      </c>
      <c r="EW99" s="21">
        <f>EXP(-LN(2)/25)*EW98+(1-EXP(-LN(2)/25))/(LN(2)/25)*Calculateur!ER99*Calculateur!ET99*VLOOKUP('Données projet'!$B$15,Paramètres!$A$1:$I$89,3,0)*0.475*44/12</f>
        <v>17.447369791975426</v>
      </c>
      <c r="EX99" s="21">
        <f>EXP(-LN(2)/2)*EX98+(1-EXP(-LN(2)/2))/(LN(2)/2)*ER99*EU99*VLOOKUP('Données projet'!$B$15,Paramètres!$A$1:$I$89,3,0)*0.475*44/12</f>
        <v>4.5214351417934801E-6</v>
      </c>
      <c r="EY99" s="22">
        <f t="shared" si="75"/>
        <v>136.37313467435499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2.2999999999999998</v>
      </c>
      <c r="N100" s="13">
        <f>IF('Données projet'!$A$36&gt;35,N99+M100-V99,IF(A100&lt;'Données projet'!$A$36,$K$205^A100,IF(A100='Données projet'!$A$36,'Données projet'!$B$36,N99+M100-V99)))</f>
        <v>209.10000000000002</v>
      </c>
      <c r="O100" s="13">
        <f>N100*VLOOKUP('Données projet'!$B$9,Paramètres!$A$1:$I$89,3,0)*VLOOKUP('Données projet'!$B$9,Paramètres!$A$1:$I$89,5,0)</f>
        <v>189.19368000000003</v>
      </c>
      <c r="P100" s="13">
        <f t="shared" si="87"/>
        <v>47.361642848204745</v>
      </c>
      <c r="Q100" s="20">
        <f t="shared" si="107"/>
        <v>412.00052062728997</v>
      </c>
      <c r="R100" s="59">
        <f t="shared" si="55"/>
        <v>705.33385396062329</v>
      </c>
      <c r="S100" s="59">
        <f ca="1">AVERAGE(OFFSET($R$3,0,0,'Données projet'!$E$9+1,1))-AVERAGE(OFFSET($H$3,0,0,'Données projet'!$E$9+1,1))</f>
        <v>173.91998182168385</v>
      </c>
      <c r="T100" s="59">
        <f t="shared" si="88"/>
        <v>72.011647893875363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15.72890997428421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15.72890997428421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-2.8421709430404007E-14</v>
      </c>
      <c r="AJ100" s="13">
        <f>AI100*VLOOKUP('Données projet'!$B$10,Paramètres!$A$1:$I$89,3,0)*VLOOKUP('Données projet'!$B$10,Paramètres!$A$1:$I$89,5,0)</f>
        <v>-3.0593128030886874E-14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150.9416300233616</v>
      </c>
      <c r="AO100" s="59">
        <f t="shared" si="90"/>
        <v>92.286636088269972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70.572653895978974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70.572653895978974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-2.8421709430404007E-14</v>
      </c>
      <c r="BE100" s="13">
        <f>BD100*VLOOKUP('Données projet'!$B$11,Paramètres!$A$1:$I$89,3,0)*VLOOKUP('Données projet'!$B$11,Paramètres!$A$1:$I$89,5,0)</f>
        <v>-2.7489477361086758E-14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131.02416800340484</v>
      </c>
      <c r="BJ100" s="59">
        <f t="shared" si="92"/>
        <v>79.394119001888555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63.413109297836172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63.413109297836172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-2.8421709430404007E-14</v>
      </c>
      <c r="BZ100" s="13">
        <f>BY100*VLOOKUP('Données projet'!$B$12,Paramètres!$A$1:$I$89,3,0)*VLOOKUP('Données projet'!$B$12,Paramètres!$A$1:$I$89,5,0)</f>
        <v>-2.5715962692629544E-14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119.62076457560073</v>
      </c>
      <c r="CE100" s="59">
        <f t="shared" si="94"/>
        <v>72.011647893875363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59.321940956040258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59.321940956040258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-2.8421709430404007E-14</v>
      </c>
      <c r="CU100" s="17">
        <f>CT100*VLOOKUP('Données projet'!$B$13,Paramètres!$A$1:$I$89,3,0)*VLOOKUP('Données projet'!$B$13,Paramètres!$A$1:$I$89,5,0)</f>
        <v>-3.0593128030886874E-14</v>
      </c>
      <c r="CV100" s="13" t="e">
        <f t="shared" si="95"/>
        <v>#NUM!</v>
      </c>
      <c r="CW100" s="20" t="e">
        <f t="shared" si="67"/>
        <v>#NUM!</v>
      </c>
      <c r="CX100" s="59" t="e">
        <f t="shared" si="68"/>
        <v>#NUM!</v>
      </c>
      <c r="CY100" s="59">
        <f ca="1">AVERAGE(OFFSET($CX$3,0,0,'Données projet'!$E$13+1,1))-AVERAGE(OFFSET($H$3,0,0,'Données projet'!$E$13+1,1))</f>
        <v>150.9416300233616</v>
      </c>
      <c r="CZ100" s="59">
        <f t="shared" si="96"/>
        <v>92.286636088269972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70.572653895978974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70.572653895978974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439.99999999999943</v>
      </c>
      <c r="DP100" s="17">
        <f>DO100*VLOOKUP('Données projet'!$B$14,Paramètres!$A$1:$I$89,3,0)*VLOOKUP('Données projet'!$B$14,Paramètres!$A$1:$I$89,5,0)</f>
        <v>263.11999999999966</v>
      </c>
      <c r="DQ100" s="13">
        <f t="shared" si="97"/>
        <v>63.386973458751953</v>
      </c>
      <c r="DR100" s="20">
        <f t="shared" si="70"/>
        <v>568.66631210732578</v>
      </c>
      <c r="DS100" s="59">
        <f t="shared" si="71"/>
        <v>861.99964544065915</v>
      </c>
      <c r="DT100" s="59">
        <f ca="1">AVERAGE(OFFSET($DS$3,0,0,'Données projet'!$E$14+1,1))-AVERAGE(OFFSET($H$3,0,0,'Données projet'!$E$14+1,1))</f>
        <v>249.22792522076639</v>
      </c>
      <c r="DU100" s="59">
        <f t="shared" si="98"/>
        <v>244.53725944480669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27.992573594765247</v>
      </c>
      <c r="EB100" s="21">
        <f>EXP(-LN(2)/25)*EB99+(1-EXP(-LN(2)/25))/(LN(2)/25)*Calculateur!DW100*Calculateur!DY100*VLOOKUP('Données projet'!$B$14,Paramètres!$A$1:$I$89,3,0)*0.475*44/12</f>
        <v>7.9718449026074003</v>
      </c>
      <c r="EC100" s="21">
        <f>EXP(-LN(2)/2)*EC99+(1-EXP(-LN(2)/2))/(LN(2)/2)*DW100*DZ100*VLOOKUP('Données projet'!$B$14,Paramètres!$A$1:$I$89,3,0)*0.475*44/12</f>
        <v>1.6003543708273423E-4</v>
      </c>
      <c r="ED100" s="22">
        <f t="shared" si="72"/>
        <v>35.964578532809732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2.2737367544323206E-13</v>
      </c>
      <c r="EK100" s="17">
        <f>EJ100*VLOOKUP('Données projet'!$B$15,Paramètres!$A$1:$I$89,3,0)*VLOOKUP('Données projet'!$B$15,Paramètres!$A$1:$I$89,5,0)</f>
        <v>1.2710188457276673E-13</v>
      </c>
      <c r="EL100" s="13">
        <f t="shared" si="99"/>
        <v>1.856866851063998E-12</v>
      </c>
      <c r="EM100" s="20">
        <f t="shared" si="73"/>
        <v>3.4554122145673649E-12</v>
      </c>
      <c r="EN100" s="59">
        <f t="shared" si="74"/>
        <v>293.33333333333678</v>
      </c>
      <c r="EO100" s="59">
        <f ca="1">AVERAGE(OFFSET($EN$3,0,0,'Données projet'!$E$15+1,1))-AVERAGE(OFFSET($H$3,0,0,'Données projet'!$E$15+1,1))</f>
        <v>313.36787814924116</v>
      </c>
      <c r="EP100" s="59">
        <f t="shared" si="100"/>
        <v>438.72984487610216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116.59369873781765</v>
      </c>
      <c r="EW100" s="21">
        <f>EXP(-LN(2)/25)*EW99+(1-EXP(-LN(2)/25))/(LN(2)/25)*Calculateur!ER100*Calculateur!ET100*VLOOKUP('Données projet'!$B$15,Paramètres!$A$1:$I$89,3,0)*0.475*44/12</f>
        <v>16.970270547496558</v>
      </c>
      <c r="EX100" s="21">
        <f>EXP(-LN(2)/2)*EX99+(1-EXP(-LN(2)/2))/(LN(2)/2)*ER100*EU100*VLOOKUP('Données projet'!$B$15,Paramètres!$A$1:$I$89,3,0)*0.475*44/12</f>
        <v>3.1971374494573288E-6</v>
      </c>
      <c r="EY100" s="22">
        <f t="shared" si="75"/>
        <v>133.56397248245167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2.2999999999999998</v>
      </c>
      <c r="N101" s="13">
        <f>IF('Données projet'!$A$36&gt;35,N100+M101-V100,IF(A101&lt;'Données projet'!$A$36,$K$205^A101,IF(A101='Données projet'!$A$36,'Données projet'!$B$36,N100+M101-V100)))</f>
        <v>211.40000000000003</v>
      </c>
      <c r="O101" s="13">
        <f>N101*VLOOKUP('Données projet'!$B$9,Paramètres!$A$1:$I$89,3,0)*VLOOKUP('Données projet'!$B$9,Paramètres!$A$1:$I$89,5,0)</f>
        <v>191.27472000000003</v>
      </c>
      <c r="P101" s="13">
        <f t="shared" si="87"/>
        <v>47.821665575903147</v>
      </c>
      <c r="Q101" s="20">
        <f t="shared" si="107"/>
        <v>416.42620487803134</v>
      </c>
      <c r="R101" s="59">
        <f t="shared" si="55"/>
        <v>709.75953821136466</v>
      </c>
      <c r="S101" s="59">
        <f ca="1">AVERAGE(OFFSET($R$3,0,0,'Données projet'!$E$9+1,1))-AVERAGE(OFFSET($H$3,0,0,'Données projet'!$E$9+1,1))</f>
        <v>173.91998182168385</v>
      </c>
      <c r="T101" s="59">
        <f t="shared" si="88"/>
        <v>72.011647893875363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15.420475643376284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15.420475643376284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-2.8421709430404007E-14</v>
      </c>
      <c r="AJ101" s="13">
        <f>AI101*VLOOKUP('Données projet'!$B$10,Paramètres!$A$1:$I$89,3,0)*VLOOKUP('Données projet'!$B$10,Paramètres!$A$1:$I$89,5,0)</f>
        <v>-3.0593128030886874E-14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150.9416300233616</v>
      </c>
      <c r="AO101" s="59">
        <f t="shared" si="90"/>
        <v>92.286636088269972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69.18876719814736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69.18876719814736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-2.8421709430404007E-14</v>
      </c>
      <c r="BE101" s="13">
        <f>BD101*VLOOKUP('Données projet'!$B$11,Paramètres!$A$1:$I$89,3,0)*VLOOKUP('Données projet'!$B$11,Paramètres!$A$1:$I$89,5,0)</f>
        <v>-2.7489477361086758E-14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131.02416800340484</v>
      </c>
      <c r="BJ101" s="59">
        <f t="shared" si="92"/>
        <v>79.394119001888555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62.169616902683124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62.169616902683124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-2.8421709430404007E-14</v>
      </c>
      <c r="BZ101" s="13">
        <f>BY101*VLOOKUP('Données projet'!$B$12,Paramètres!$A$1:$I$89,3,0)*VLOOKUP('Données projet'!$B$12,Paramètres!$A$1:$I$89,5,0)</f>
        <v>-2.5715962692629544E-14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119.62076457560073</v>
      </c>
      <c r="CE101" s="59">
        <f t="shared" si="94"/>
        <v>72.011647893875363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58.158673876703538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58.158673876703538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-2.8421709430404007E-14</v>
      </c>
      <c r="CU101" s="17">
        <f>CT101*VLOOKUP('Données projet'!$B$13,Paramètres!$A$1:$I$89,3,0)*VLOOKUP('Données projet'!$B$13,Paramètres!$A$1:$I$89,5,0)</f>
        <v>-3.0593128030886874E-14</v>
      </c>
      <c r="CV101" s="13" t="e">
        <f t="shared" si="95"/>
        <v>#NUM!</v>
      </c>
      <c r="CW101" s="20" t="e">
        <f t="shared" si="67"/>
        <v>#NUM!</v>
      </c>
      <c r="CX101" s="59" t="e">
        <f t="shared" si="68"/>
        <v>#NUM!</v>
      </c>
      <c r="CY101" s="59">
        <f ca="1">AVERAGE(OFFSET($CX$3,0,0,'Données projet'!$E$13+1,1))-AVERAGE(OFFSET($H$3,0,0,'Données projet'!$E$13+1,1))</f>
        <v>150.9416300233616</v>
      </c>
      <c r="CZ101" s="59">
        <f t="shared" si="96"/>
        <v>92.286636088269972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69.18876719814736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69.18876719814736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439.99999999999943</v>
      </c>
      <c r="DP101" s="17">
        <f>DO101*VLOOKUP('Données projet'!$B$14,Paramètres!$A$1:$I$89,3,0)*VLOOKUP('Données projet'!$B$14,Paramètres!$A$1:$I$89,5,0)</f>
        <v>263.11999999999966</v>
      </c>
      <c r="DQ101" s="13">
        <f t="shared" si="97"/>
        <v>63.386973458751953</v>
      </c>
      <c r="DR101" s="20">
        <f t="shared" si="70"/>
        <v>568.66631210732578</v>
      </c>
      <c r="DS101" s="59">
        <f t="shared" si="71"/>
        <v>861.99964544065915</v>
      </c>
      <c r="DT101" s="59">
        <f ca="1">AVERAGE(OFFSET($DS$3,0,0,'Données projet'!$E$14+1,1))-AVERAGE(OFFSET($H$3,0,0,'Données projet'!$E$14+1,1))</f>
        <v>249.22792522076639</v>
      </c>
      <c r="DU101" s="59">
        <f t="shared" si="98"/>
        <v>244.53725944480669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27.443656300355897</v>
      </c>
      <c r="EB101" s="21">
        <f>EXP(-LN(2)/25)*EB100+(1-EXP(-LN(2)/25))/(LN(2)/25)*Calculateur!DW101*Calculateur!DY101*VLOOKUP('Données projet'!$B$14,Paramètres!$A$1:$I$89,3,0)*0.475*44/12</f>
        <v>7.7538543845244972</v>
      </c>
      <c r="EC101" s="21">
        <f>EXP(-LN(2)/2)*EC100+(1-EXP(-LN(2)/2))/(LN(2)/2)*DW101*DZ101*VLOOKUP('Données projet'!$B$14,Paramètres!$A$1:$I$89,3,0)*0.475*44/12</f>
        <v>1.1316214279135445E-4</v>
      </c>
      <c r="ED101" s="22">
        <f t="shared" si="72"/>
        <v>35.197623847023181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2.2737367544323206E-13</v>
      </c>
      <c r="EK101" s="17">
        <f>EJ101*VLOOKUP('Données projet'!$B$15,Paramètres!$A$1:$I$89,3,0)*VLOOKUP('Données projet'!$B$15,Paramètres!$A$1:$I$89,5,0)</f>
        <v>1.2710188457276673E-13</v>
      </c>
      <c r="EL101" s="13">
        <f t="shared" si="99"/>
        <v>1.856866851063998E-12</v>
      </c>
      <c r="EM101" s="20">
        <f t="shared" si="73"/>
        <v>3.4554122145673649E-12</v>
      </c>
      <c r="EN101" s="59">
        <f t="shared" si="74"/>
        <v>293.33333333333678</v>
      </c>
      <c r="EO101" s="59">
        <f ca="1">AVERAGE(OFFSET($EN$3,0,0,'Données projet'!$E$15+1,1))-AVERAGE(OFFSET($H$3,0,0,'Données projet'!$E$15+1,1))</f>
        <v>313.36787814924116</v>
      </c>
      <c r="EP101" s="59">
        <f t="shared" si="100"/>
        <v>438.72984487610216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114.30736742070323</v>
      </c>
      <c r="EW101" s="21">
        <f>EXP(-LN(2)/25)*EW100+(1-EXP(-LN(2)/25))/(LN(2)/25)*Calculateur!ER101*Calculateur!ET101*VLOOKUP('Données projet'!$B$15,Paramètres!$A$1:$I$89,3,0)*0.475*44/12</f>
        <v>16.506217606947523</v>
      </c>
      <c r="EX101" s="21">
        <f>EXP(-LN(2)/2)*EX100+(1-EXP(-LN(2)/2))/(LN(2)/2)*ER101*EU101*VLOOKUP('Données projet'!$B$15,Paramètres!$A$1:$I$89,3,0)*0.475*44/12</f>
        <v>2.26071757089674E-6</v>
      </c>
      <c r="EY101" s="22">
        <f t="shared" si="75"/>
        <v>130.81358728836832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2.2999999999999998</v>
      </c>
      <c r="N102" s="13">
        <f>IF('Données projet'!$A$36&gt;35,N101+M102-V101,IF(A102&lt;'Données projet'!$A$36,$K$205^A102,IF(A102='Données projet'!$A$36,'Données projet'!$B$36,N101+M102-V101)))</f>
        <v>213.70000000000005</v>
      </c>
      <c r="O102" s="13">
        <f>N102*VLOOKUP('Données projet'!$B$9,Paramètres!$A$1:$I$89,3,0)*VLOOKUP('Données projet'!$B$9,Paramètres!$A$1:$I$89,5,0)</f>
        <v>193.35576000000003</v>
      </c>
      <c r="P102" s="13">
        <f t="shared" si="87"/>
        <v>48.281106080794189</v>
      </c>
      <c r="Q102" s="20">
        <f t="shared" si="107"/>
        <v>420.85087509071656</v>
      </c>
      <c r="R102" s="59">
        <f t="shared" si="55"/>
        <v>714.18420842404987</v>
      </c>
      <c r="S102" s="59">
        <f ca="1">AVERAGE(OFFSET($R$3,0,0,'Données projet'!$E$9+1,1))-AVERAGE(OFFSET($H$3,0,0,'Données projet'!$E$9+1,1))</f>
        <v>173.91998182168385</v>
      </c>
      <c r="T102" s="59">
        <f t="shared" si="88"/>
        <v>72.011647893875363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15.118089521571095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15.118089521571095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-2.8421709430404007E-14</v>
      </c>
      <c r="AJ102" s="13">
        <f>AI102*VLOOKUP('Données projet'!$B$10,Paramètres!$A$1:$I$89,3,0)*VLOOKUP('Données projet'!$B$10,Paramètres!$A$1:$I$89,5,0)</f>
        <v>-3.0593128030886874E-14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150.9416300233616</v>
      </c>
      <c r="AO102" s="59">
        <f t="shared" si="90"/>
        <v>92.286636088269972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67.832017674372679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67.832017674372679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-2.8421709430404007E-14</v>
      </c>
      <c r="BE102" s="13">
        <f>BD102*VLOOKUP('Données projet'!$B$11,Paramètres!$A$1:$I$89,3,0)*VLOOKUP('Données projet'!$B$11,Paramètres!$A$1:$I$89,5,0)</f>
        <v>-2.7489477361086758E-14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131.02416800340484</v>
      </c>
      <c r="BJ102" s="59">
        <f t="shared" si="92"/>
        <v>79.394119001888555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60.95050863494356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60.95050863494356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-2.8421709430404007E-14</v>
      </c>
      <c r="BZ102" s="13">
        <f>BY102*VLOOKUP('Données projet'!$B$12,Paramètres!$A$1:$I$89,3,0)*VLOOKUP('Données projet'!$B$12,Paramètres!$A$1:$I$89,5,0)</f>
        <v>-2.5715962692629544E-14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119.62076457560073</v>
      </c>
      <c r="CE102" s="59">
        <f t="shared" si="94"/>
        <v>72.011647893875363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57.018217755269752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57.018217755269752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-2.8421709430404007E-14</v>
      </c>
      <c r="CU102" s="17">
        <f>CT102*VLOOKUP('Données projet'!$B$13,Paramètres!$A$1:$I$89,3,0)*VLOOKUP('Données projet'!$B$13,Paramètres!$A$1:$I$89,5,0)</f>
        <v>-3.0593128030886874E-14</v>
      </c>
      <c r="CV102" s="13" t="e">
        <f t="shared" si="95"/>
        <v>#NUM!</v>
      </c>
      <c r="CW102" s="20" t="e">
        <f t="shared" si="67"/>
        <v>#NUM!</v>
      </c>
      <c r="CX102" s="59" t="e">
        <f t="shared" si="68"/>
        <v>#NUM!</v>
      </c>
      <c r="CY102" s="59">
        <f ca="1">AVERAGE(OFFSET($CX$3,0,0,'Données projet'!$E$13+1,1))-AVERAGE(OFFSET($H$3,0,0,'Données projet'!$E$13+1,1))</f>
        <v>150.9416300233616</v>
      </c>
      <c r="CZ102" s="59">
        <f t="shared" si="96"/>
        <v>92.286636088269972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67.832017674372679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67.832017674372679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439.99999999999943</v>
      </c>
      <c r="DP102" s="17">
        <f>DO102*VLOOKUP('Données projet'!$B$14,Paramètres!$A$1:$I$89,3,0)*VLOOKUP('Données projet'!$B$14,Paramètres!$A$1:$I$89,5,0)</f>
        <v>263.11999999999966</v>
      </c>
      <c r="DQ102" s="13">
        <f t="shared" si="97"/>
        <v>63.386973458751953</v>
      </c>
      <c r="DR102" s="20">
        <f t="shared" si="70"/>
        <v>568.66631210732578</v>
      </c>
      <c r="DS102" s="59">
        <f t="shared" si="71"/>
        <v>861.99964544065915</v>
      </c>
      <c r="DT102" s="59">
        <f ca="1">AVERAGE(OFFSET($DS$3,0,0,'Données projet'!$E$14+1,1))-AVERAGE(OFFSET($H$3,0,0,'Données projet'!$E$14+1,1))</f>
        <v>249.22792522076639</v>
      </c>
      <c r="DU102" s="59">
        <f t="shared" si="98"/>
        <v>244.53725944480669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26.905502939283426</v>
      </c>
      <c r="EB102" s="21">
        <f>EXP(-LN(2)/25)*EB101+(1-EXP(-LN(2)/25))/(LN(2)/25)*Calculateur!DW102*Calculateur!DY102*VLOOKUP('Données projet'!$B$14,Paramètres!$A$1:$I$89,3,0)*0.475*44/12</f>
        <v>7.5418248286221941</v>
      </c>
      <c r="EC102" s="21">
        <f>EXP(-LN(2)/2)*EC101+(1-EXP(-LN(2)/2))/(LN(2)/2)*DW102*DZ102*VLOOKUP('Données projet'!$B$14,Paramètres!$A$1:$I$89,3,0)*0.475*44/12</f>
        <v>8.0017718541367116E-5</v>
      </c>
      <c r="ED102" s="22">
        <f t="shared" si="72"/>
        <v>34.447407785624158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2.2737367544323206E-13</v>
      </c>
      <c r="EK102" s="17">
        <f>EJ102*VLOOKUP('Données projet'!$B$15,Paramètres!$A$1:$I$89,3,0)*VLOOKUP('Données projet'!$B$15,Paramètres!$A$1:$I$89,5,0)</f>
        <v>1.2710188457276673E-13</v>
      </c>
      <c r="EL102" s="13">
        <f t="shared" si="99"/>
        <v>1.856866851063998E-12</v>
      </c>
      <c r="EM102" s="20">
        <f t="shared" si="73"/>
        <v>3.4554122145673649E-12</v>
      </c>
      <c r="EN102" s="59">
        <f t="shared" si="74"/>
        <v>293.33333333333678</v>
      </c>
      <c r="EO102" s="59">
        <f ca="1">AVERAGE(OFFSET($EN$3,0,0,'Données projet'!$E$15+1,1))-AVERAGE(OFFSET($H$3,0,0,'Données projet'!$E$15+1,1))</f>
        <v>313.36787814924116</v>
      </c>
      <c r="EP102" s="59">
        <f t="shared" si="100"/>
        <v>438.72984487610216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112.06586966619302</v>
      </c>
      <c r="EW102" s="21">
        <f>EXP(-LN(2)/25)*EW101+(1-EXP(-LN(2)/25))/(LN(2)/25)*Calculateur!ER102*Calculateur!ET102*VLOOKUP('Données projet'!$B$15,Paramètres!$A$1:$I$89,3,0)*0.475*44/12</f>
        <v>16.054854218461283</v>
      </c>
      <c r="EX102" s="21">
        <f>EXP(-LN(2)/2)*EX101+(1-EXP(-LN(2)/2))/(LN(2)/2)*ER102*EU102*VLOOKUP('Données projet'!$B$15,Paramètres!$A$1:$I$89,3,0)*0.475*44/12</f>
        <v>1.5985687247286644E-6</v>
      </c>
      <c r="EY102" s="22">
        <f t="shared" si="75"/>
        <v>128.12072548322303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216</v>
      </c>
      <c r="L103" s="12">
        <f>VLOOKUP(A103,'Données projet'!$A$35:$I$55,9,0)</f>
        <v>2.2999999999999998</v>
      </c>
      <c r="M103" s="12">
        <f t="array" ref="M103">INDEX(L:L,MIN(IF(ISNUMBER(L103:L299),ROW(L103:L299),"")))</f>
        <v>2.2999999999999998</v>
      </c>
      <c r="N103" s="13">
        <f>IF('Données projet'!$A$36&gt;35,N102+M103-V102,IF(A103&lt;'Données projet'!$A$36,$K$205^A103,IF(A103='Données projet'!$A$36,'Données projet'!$B$36,N102+M103-V102)))</f>
        <v>216.00000000000006</v>
      </c>
      <c r="O103" s="13">
        <f>N103*VLOOKUP('Données projet'!$B$9,Paramètres!$A$1:$I$89,3,0)*VLOOKUP('Données projet'!$B$9,Paramètres!$A$1:$I$89,5,0)</f>
        <v>195.43680000000006</v>
      </c>
      <c r="P103" s="13">
        <f t="shared" si="87"/>
        <v>48.739971354487849</v>
      </c>
      <c r="Q103" s="20">
        <f t="shared" si="107"/>
        <v>425.27454344239982</v>
      </c>
      <c r="R103" s="59">
        <f t="shared" si="55"/>
        <v>718.60787677573308</v>
      </c>
      <c r="S103" s="59">
        <f ca="1">AVERAGE(OFFSET($R$3,0,0,'Données projet'!$E$9+1,1))-AVERAGE(OFFSET($H$3,0,0,'Données projet'!$E$9+1,1))</f>
        <v>173.91998182168385</v>
      </c>
      <c r="T103" s="59">
        <f t="shared" si="88"/>
        <v>72.011647893875363</v>
      </c>
      <c r="U103" s="15">
        <f>IF(ISNA(VLOOKUP(A103,'Données projet'!$A$35:$I$55,3,0)),0,VLOOKUP(A103,'Données projet'!$A$35:$I$55,3,0))</f>
        <v>16</v>
      </c>
      <c r="V103" s="15">
        <f>IF(ISNA(VLOOKUP(A103,'Données projet'!$A$35:$I$55,4,0)),0,VLOOKUP(A103,'Données projet'!$A$35:$I$55,4,0))</f>
        <v>14</v>
      </c>
      <c r="W103" s="16">
        <f>IF(ISNA(VLOOKUP(A103,'Données projet'!$A$35:$I$55,5,0)),0%,VLOOKUP(A103,'Données projet'!$A$35:$I$55,5,0)*VLOOKUP('Données projet'!$B$9,Paramètres!$A$1:$I$89,7,0))</f>
        <v>0.30099999999999999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19.036600539054739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19.036600539054739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-2.8421709430404007E-14</v>
      </c>
      <c r="AJ103" s="13">
        <f>AI103*VLOOKUP('Données projet'!$B$10,Paramètres!$A$1:$I$89,3,0)*VLOOKUP('Données projet'!$B$10,Paramètres!$A$1:$I$89,5,0)</f>
        <v>-3.0593128030886874E-14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150.9416300233616</v>
      </c>
      <c r="AO103" s="59">
        <f t="shared" si="90"/>
        <v>92.286636088269972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66.501873181223729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66.501873181223729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-2.8421709430404007E-14</v>
      </c>
      <c r="BE103" s="13">
        <f>BD103*VLOOKUP('Données projet'!$B$11,Paramètres!$A$1:$I$89,3,0)*VLOOKUP('Données projet'!$B$11,Paramètres!$A$1:$I$89,5,0)</f>
        <v>-2.7489477361086758E-14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131.02416800340484</v>
      </c>
      <c r="BJ103" s="59">
        <f t="shared" si="92"/>
        <v>79.394119001888555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59.755306336751744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59.755306336751744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-2.8421709430404007E-14</v>
      </c>
      <c r="BZ103" s="13">
        <f>BY103*VLOOKUP('Données projet'!$B$12,Paramètres!$A$1:$I$89,3,0)*VLOOKUP('Données projet'!$B$12,Paramètres!$A$1:$I$89,5,0)</f>
        <v>-2.5715962692629544E-14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119.62076457560073</v>
      </c>
      <c r="CE103" s="59">
        <f t="shared" si="94"/>
        <v>72.011647893875363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55.900125282767732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55.900125282767732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-2.8421709430404007E-14</v>
      </c>
      <c r="CU103" s="17">
        <f>CT103*VLOOKUP('Données projet'!$B$13,Paramètres!$A$1:$I$89,3,0)*VLOOKUP('Données projet'!$B$13,Paramètres!$A$1:$I$89,5,0)</f>
        <v>-3.0593128030886874E-14</v>
      </c>
      <c r="CV103" s="13" t="e">
        <f t="shared" si="95"/>
        <v>#NUM!</v>
      </c>
      <c r="CW103" s="20" t="e">
        <f t="shared" si="67"/>
        <v>#NUM!</v>
      </c>
      <c r="CX103" s="59" t="e">
        <f t="shared" si="68"/>
        <v>#NUM!</v>
      </c>
      <c r="CY103" s="59">
        <f ca="1">AVERAGE(OFFSET($CX$3,0,0,'Données projet'!$E$13+1,1))-AVERAGE(OFFSET($H$3,0,0,'Données projet'!$E$13+1,1))</f>
        <v>150.9416300233616</v>
      </c>
      <c r="CZ103" s="59">
        <f t="shared" si="96"/>
        <v>92.286636088269972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66.501873181223729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66.501873181223729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439.99999999999943</v>
      </c>
      <c r="DP103" s="17">
        <f>DO103*VLOOKUP('Données projet'!$B$14,Paramètres!$A$1:$I$89,3,0)*VLOOKUP('Données projet'!$B$14,Paramètres!$A$1:$I$89,5,0)</f>
        <v>263.11999999999966</v>
      </c>
      <c r="DQ103" s="13">
        <f t="shared" si="97"/>
        <v>63.386973458751953</v>
      </c>
      <c r="DR103" s="20">
        <f t="shared" si="70"/>
        <v>568.66631210732578</v>
      </c>
      <c r="DS103" s="59">
        <f t="shared" si="71"/>
        <v>861.99964544065915</v>
      </c>
      <c r="DT103" s="59">
        <f ca="1">AVERAGE(OFFSET($DS$3,0,0,'Données projet'!$E$14+1,1))-AVERAGE(OFFSET($H$3,0,0,'Données projet'!$E$14+1,1))</f>
        <v>249.22792522076639</v>
      </c>
      <c r="DU103" s="59">
        <f t="shared" si="98"/>
        <v>244.53725944480669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26.377902437380445</v>
      </c>
      <c r="EB103" s="21">
        <f>EXP(-LN(2)/25)*EB102+(1-EXP(-LN(2)/25))/(LN(2)/25)*Calculateur!DW103*Calculateur!DY103*VLOOKUP('Données projet'!$B$14,Paramètres!$A$1:$I$89,3,0)*0.475*44/12</f>
        <v>7.3355932320761896</v>
      </c>
      <c r="EC103" s="21">
        <f>EXP(-LN(2)/2)*EC102+(1-EXP(-LN(2)/2))/(LN(2)/2)*DW103*DZ103*VLOOKUP('Données projet'!$B$14,Paramètres!$A$1:$I$89,3,0)*0.475*44/12</f>
        <v>5.6581071395677225E-5</v>
      </c>
      <c r="ED103" s="22">
        <f t="shared" si="72"/>
        <v>33.713552250528032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2.2737367544323206E-13</v>
      </c>
      <c r="EK103" s="17">
        <f>EJ103*VLOOKUP('Données projet'!$B$15,Paramètres!$A$1:$I$89,3,0)*VLOOKUP('Données projet'!$B$15,Paramètres!$A$1:$I$89,5,0)</f>
        <v>1.2710188457276673E-13</v>
      </c>
      <c r="EL103" s="13">
        <f t="shared" si="99"/>
        <v>1.856866851063998E-12</v>
      </c>
      <c r="EM103" s="20">
        <f t="shared" si="73"/>
        <v>3.4554122145673649E-12</v>
      </c>
      <c r="EN103" s="59">
        <f t="shared" si="74"/>
        <v>293.33333333333678</v>
      </c>
      <c r="EO103" s="59">
        <f ca="1">AVERAGE(OFFSET($EN$3,0,0,'Données projet'!$E$15+1,1))-AVERAGE(OFFSET($H$3,0,0,'Données projet'!$E$15+1,1))</f>
        <v>313.36787814924116</v>
      </c>
      <c r="EP103" s="59">
        <f t="shared" si="100"/>
        <v>438.72984487610216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109.86832631547013</v>
      </c>
      <c r="EW103" s="21">
        <f>EXP(-LN(2)/25)*EW102+(1-EXP(-LN(2)/25))/(LN(2)/25)*Calculateur!ER103*Calculateur!ET103*VLOOKUP('Données projet'!$B$15,Paramètres!$A$1:$I$89,3,0)*0.475*44/12</f>
        <v>15.615833385569371</v>
      </c>
      <c r="EX103" s="21">
        <f>EXP(-LN(2)/2)*EX102+(1-EXP(-LN(2)/2))/(LN(2)/2)*ER103*EU103*VLOOKUP('Données projet'!$B$15,Paramètres!$A$1:$I$89,3,0)*0.475*44/12</f>
        <v>1.13035878544837E-6</v>
      </c>
      <c r="EY103" s="22">
        <f t="shared" si="75"/>
        <v>125.48416083139828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1.7</v>
      </c>
      <c r="N104" s="13">
        <f>IF('Données projet'!$A$36&gt;35,N103+M104-V103,IF(A104&lt;'Données projet'!$A$36,$K$205^A104,IF(A104='Données projet'!$A$36,'Données projet'!$B$36,N103+M104-V103)))</f>
        <v>203.70000000000005</v>
      </c>
      <c r="O104" s="13">
        <f>N104*VLOOKUP('Données projet'!$B$9,Paramètres!$A$1:$I$89,3,0)*VLOOKUP('Données projet'!$B$9,Paramètres!$A$1:$I$89,5,0)</f>
        <v>184.30776000000003</v>
      </c>
      <c r="P104" s="13">
        <f t="shared" si="87"/>
        <v>46.279260244610334</v>
      </c>
      <c r="Q104" s="20">
        <f t="shared" si="107"/>
        <v>401.60572692602972</v>
      </c>
      <c r="R104" s="59">
        <f t="shared" si="55"/>
        <v>694.93906025936303</v>
      </c>
      <c r="S104" s="59">
        <f ca="1">AVERAGE(OFFSET($R$3,0,0,'Données projet'!$E$9+1,1))-AVERAGE(OFFSET($H$3,0,0,'Données projet'!$E$9+1,1))</f>
        <v>173.91998182168385</v>
      </c>
      <c r="T104" s="59">
        <f t="shared" si="88"/>
        <v>72.011647893875363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18.663304413663695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18.663304413663695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-2.8421709430404007E-14</v>
      </c>
      <c r="AJ104" s="13">
        <f>AI104*VLOOKUP('Données projet'!$B$10,Paramètres!$A$1:$I$89,3,0)*VLOOKUP('Données projet'!$B$10,Paramètres!$A$1:$I$89,5,0)</f>
        <v>-3.0593128030886874E-14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150.9416300233616</v>
      </c>
      <c r="AO104" s="59">
        <f t="shared" si="90"/>
        <v>92.286636088269972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65.197812010277389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65.197812010277389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-2.8421709430404007E-14</v>
      </c>
      <c r="BE104" s="13">
        <f>BD104*VLOOKUP('Données projet'!$B$11,Paramètres!$A$1:$I$89,3,0)*VLOOKUP('Données projet'!$B$11,Paramètres!$A$1:$I$89,5,0)</f>
        <v>-2.7489477361086758E-14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131.02416800340484</v>
      </c>
      <c r="BJ104" s="59">
        <f t="shared" si="92"/>
        <v>79.394119001888555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58.583541226626053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58.583541226626053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-2.8421709430404007E-14</v>
      </c>
      <c r="BZ104" s="13">
        <f>BY104*VLOOKUP('Données projet'!$B$12,Paramètres!$A$1:$I$89,3,0)*VLOOKUP('Données projet'!$B$12,Paramètres!$A$1:$I$89,5,0)</f>
        <v>-2.5715962692629544E-14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119.62076457560073</v>
      </c>
      <c r="CE104" s="59">
        <f t="shared" si="94"/>
        <v>72.011647893875363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54.803957921682411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54.803957921682411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-2.8421709430404007E-14</v>
      </c>
      <c r="CU104" s="17">
        <f>CT104*VLOOKUP('Données projet'!$B$13,Paramètres!$A$1:$I$89,3,0)*VLOOKUP('Données projet'!$B$13,Paramètres!$A$1:$I$89,5,0)</f>
        <v>-3.0593128030886874E-14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150.9416300233616</v>
      </c>
      <c r="CZ104" s="59">
        <f t="shared" si="96"/>
        <v>92.286636088269972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65.197812010277389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65.197812010277389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439.99999999999943</v>
      </c>
      <c r="DP104" s="17">
        <f>DO104*VLOOKUP('Données projet'!$B$14,Paramètres!$A$1:$I$89,3,0)*VLOOKUP('Données projet'!$B$14,Paramètres!$A$1:$I$89,5,0)</f>
        <v>263.11999999999966</v>
      </c>
      <c r="DQ104" s="13">
        <f t="shared" si="97"/>
        <v>63.386973458751953</v>
      </c>
      <c r="DR104" s="20">
        <f t="shared" si="70"/>
        <v>568.66631210732578</v>
      </c>
      <c r="DS104" s="59">
        <f t="shared" si="71"/>
        <v>861.99964544065915</v>
      </c>
      <c r="DT104" s="59">
        <f ca="1">AVERAGE(OFFSET($DS$3,0,0,'Données projet'!$E$14+1,1))-AVERAGE(OFFSET($H$3,0,0,'Données projet'!$E$14+1,1))</f>
        <v>249.22792522076639</v>
      </c>
      <c r="DU104" s="59">
        <f t="shared" si="98"/>
        <v>244.53725944480669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25.86064785951525</v>
      </c>
      <c r="EB104" s="21">
        <f>EXP(-LN(2)/25)*EB103+(1-EXP(-LN(2)/25))/(LN(2)/25)*Calculateur!DW104*Calculateur!DY104*VLOOKUP('Données projet'!$B$14,Paramètres!$A$1:$I$89,3,0)*0.475*44/12</f>
        <v>7.1350010493829839</v>
      </c>
      <c r="EC104" s="21">
        <f>EXP(-LN(2)/2)*EC103+(1-EXP(-LN(2)/2))/(LN(2)/2)*DW104*DZ104*VLOOKUP('Données projet'!$B$14,Paramètres!$A$1:$I$89,3,0)*0.475*44/12</f>
        <v>4.0008859270683558E-5</v>
      </c>
      <c r="ED104" s="22">
        <f t="shared" si="72"/>
        <v>32.995688917757505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2.2737367544323206E-13</v>
      </c>
      <c r="EK104" s="17">
        <f>EJ104*VLOOKUP('Données projet'!$B$15,Paramètres!$A$1:$I$89,3,0)*VLOOKUP('Données projet'!$B$15,Paramètres!$A$1:$I$89,5,0)</f>
        <v>1.2710188457276673E-13</v>
      </c>
      <c r="EL104" s="13">
        <f t="shared" si="99"/>
        <v>1.856866851063998E-12</v>
      </c>
      <c r="EM104" s="20">
        <f t="shared" si="73"/>
        <v>3.4554122145673649E-12</v>
      </c>
      <c r="EN104" s="59">
        <f t="shared" si="74"/>
        <v>293.33333333333678</v>
      </c>
      <c r="EO104" s="59">
        <f ca="1">AVERAGE(OFFSET($EN$3,0,0,'Données projet'!$E$15+1,1))-AVERAGE(OFFSET($H$3,0,0,'Données projet'!$E$15+1,1))</f>
        <v>313.36787814924116</v>
      </c>
      <c r="EP104" s="59">
        <f t="shared" si="100"/>
        <v>438.72984487610216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107.71387544948583</v>
      </c>
      <c r="EW104" s="21">
        <f>EXP(-LN(2)/25)*EW103+(1-EXP(-LN(2)/25))/(LN(2)/25)*Calculateur!ER104*Calculateur!ET104*VLOOKUP('Données projet'!$B$15,Paramètres!$A$1:$I$89,3,0)*0.475*44/12</f>
        <v>15.18881760043999</v>
      </c>
      <c r="EX104" s="21">
        <f>EXP(-LN(2)/2)*EX103+(1-EXP(-LN(2)/2))/(LN(2)/2)*ER104*EU104*VLOOKUP('Données projet'!$B$15,Paramètres!$A$1:$I$89,3,0)*0.475*44/12</f>
        <v>7.9928436236433221E-7</v>
      </c>
      <c r="EY104" s="22">
        <f t="shared" si="75"/>
        <v>122.90269384921018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1.7</v>
      </c>
      <c r="N105" s="13">
        <f>IF('Données projet'!$A$36&gt;35,N104+M105-V104,IF(A105&lt;'Données projet'!$A$36,$K$205^A105,IF(A105='Données projet'!$A$36,'Données projet'!$B$36,N104+M105-V104)))</f>
        <v>205.40000000000003</v>
      </c>
      <c r="O105" s="13">
        <f>N105*VLOOKUP('Données projet'!$B$9,Paramètres!$A$1:$I$89,3,0)*VLOOKUP('Données projet'!$B$9,Paramètres!$A$1:$I$89,5,0)</f>
        <v>185.84592000000001</v>
      </c>
      <c r="P105" s="13">
        <f t="shared" si="87"/>
        <v>46.620366486148335</v>
      </c>
      <c r="Q105" s="20">
        <f t="shared" si="107"/>
        <v>404.87878229670832</v>
      </c>
      <c r="R105" s="59">
        <f t="shared" si="55"/>
        <v>698.21211563004158</v>
      </c>
      <c r="S105" s="59">
        <f ca="1">AVERAGE(OFFSET($R$3,0,0,'Données projet'!$E$9+1,1))-AVERAGE(OFFSET($H$3,0,0,'Données projet'!$E$9+1,1))</f>
        <v>173.91998182168385</v>
      </c>
      <c r="T105" s="59">
        <f t="shared" si="88"/>
        <v>72.011647893875363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18.297328397603415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18.297328397603415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-2.8421709430404007E-14</v>
      </c>
      <c r="AJ105" s="13">
        <f>AI105*VLOOKUP('Données projet'!$B$10,Paramètres!$A$1:$I$89,3,0)*VLOOKUP('Données projet'!$B$10,Paramètres!$A$1:$I$89,5,0)</f>
        <v>-3.0593128030886874E-14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150.9416300233616</v>
      </c>
      <c r="AO105" s="59">
        <f t="shared" si="90"/>
        <v>92.286636088269972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63.919322683494535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63.919322683494535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-2.8421709430404007E-14</v>
      </c>
      <c r="BE105" s="13">
        <f>BD105*VLOOKUP('Données projet'!$B$11,Paramètres!$A$1:$I$89,3,0)*VLOOKUP('Données projet'!$B$11,Paramètres!$A$1:$I$89,5,0)</f>
        <v>-2.7489477361086758E-14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131.02416800340484</v>
      </c>
      <c r="BJ105" s="59">
        <f t="shared" si="92"/>
        <v>79.394119001888555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57.434753715603783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57.434753715603783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-2.8421709430404007E-14</v>
      </c>
      <c r="BZ105" s="13">
        <f>BY105*VLOOKUP('Données projet'!$B$12,Paramètres!$A$1:$I$89,3,0)*VLOOKUP('Données projet'!$B$12,Paramètres!$A$1:$I$89,5,0)</f>
        <v>-2.5715962692629544E-14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119.62076457560073</v>
      </c>
      <c r="CE105" s="59">
        <f t="shared" si="94"/>
        <v>72.011647893875363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53.729285733951897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53.729285733951897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-2.8421709430404007E-14</v>
      </c>
      <c r="CU105" s="17">
        <f>CT105*VLOOKUP('Données projet'!$B$13,Paramètres!$A$1:$I$89,3,0)*VLOOKUP('Données projet'!$B$13,Paramètres!$A$1:$I$89,5,0)</f>
        <v>-3.0593128030886874E-14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150.9416300233616</v>
      </c>
      <c r="CZ105" s="59">
        <f t="shared" si="96"/>
        <v>92.286636088269972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63.919322683494535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63.919322683494535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439.99999999999943</v>
      </c>
      <c r="DP105" s="17">
        <f>DO105*VLOOKUP('Données projet'!$B$14,Paramètres!$A$1:$I$89,3,0)*VLOOKUP('Données projet'!$B$14,Paramètres!$A$1:$I$89,5,0)</f>
        <v>263.11999999999966</v>
      </c>
      <c r="DQ105" s="13">
        <f t="shared" si="97"/>
        <v>63.386973458751953</v>
      </c>
      <c r="DR105" s="20">
        <f t="shared" si="70"/>
        <v>568.66631210732578</v>
      </c>
      <c r="DS105" s="59">
        <f t="shared" si="71"/>
        <v>861.99964544065915</v>
      </c>
      <c r="DT105" s="59">
        <f ca="1">AVERAGE(OFFSET($DS$3,0,0,'Données projet'!$E$14+1,1))-AVERAGE(OFFSET($H$3,0,0,'Données projet'!$E$14+1,1))</f>
        <v>249.22792522076639</v>
      </c>
      <c r="DU105" s="59">
        <f t="shared" si="98"/>
        <v>244.53725944480669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25.353536328427854</v>
      </c>
      <c r="EB105" s="21">
        <f>EXP(-LN(2)/25)*EB104+(1-EXP(-LN(2)/25))/(LN(2)/25)*Calculateur!DW105*Calculateur!DY105*VLOOKUP('Données projet'!$B$14,Paramètres!$A$1:$I$89,3,0)*0.475*44/12</f>
        <v>6.9398940704742085</v>
      </c>
      <c r="EC105" s="21">
        <f>EXP(-LN(2)/2)*EC104+(1-EXP(-LN(2)/2))/(LN(2)/2)*DW105*DZ105*VLOOKUP('Données projet'!$B$14,Paramètres!$A$1:$I$89,3,0)*0.475*44/12</f>
        <v>2.8290535697838612E-5</v>
      </c>
      <c r="ED105" s="22">
        <f t="shared" si="72"/>
        <v>32.293458689437756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2.2737367544323206E-13</v>
      </c>
      <c r="EK105" s="17">
        <f>EJ105*VLOOKUP('Données projet'!$B$15,Paramètres!$A$1:$I$89,3,0)*VLOOKUP('Données projet'!$B$15,Paramètres!$A$1:$I$89,5,0)</f>
        <v>1.2710188457276673E-13</v>
      </c>
      <c r="EL105" s="13">
        <f t="shared" si="99"/>
        <v>1.856866851063998E-12</v>
      </c>
      <c r="EM105" s="20">
        <f t="shared" si="73"/>
        <v>3.4554122145673649E-12</v>
      </c>
      <c r="EN105" s="59">
        <f t="shared" si="74"/>
        <v>293.33333333333678</v>
      </c>
      <c r="EO105" s="59">
        <f ca="1">AVERAGE(OFFSET($EN$3,0,0,'Données projet'!$E$15+1,1))-AVERAGE(OFFSET($H$3,0,0,'Données projet'!$E$15+1,1))</f>
        <v>313.36787814924116</v>
      </c>
      <c r="EP105" s="59">
        <f t="shared" si="100"/>
        <v>438.72984487610216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105.6016720508982</v>
      </c>
      <c r="EW105" s="21">
        <f>EXP(-LN(2)/25)*EW104+(1-EXP(-LN(2)/25))/(LN(2)/25)*Calculateur!ER105*Calculateur!ET105*VLOOKUP('Données projet'!$B$15,Paramètres!$A$1:$I$89,3,0)*0.475*44/12</f>
        <v>14.773478584410755</v>
      </c>
      <c r="EX105" s="21">
        <f>EXP(-LN(2)/2)*EX104+(1-EXP(-LN(2)/2))/(LN(2)/2)*ER105*EU105*VLOOKUP('Données projet'!$B$15,Paramètres!$A$1:$I$89,3,0)*0.475*44/12</f>
        <v>5.6517939272418501E-7</v>
      </c>
      <c r="EY105" s="22">
        <f t="shared" si="75"/>
        <v>120.37515120048835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1.7</v>
      </c>
      <c r="N106" s="13">
        <f>IF('Données projet'!$A$36&gt;35,N105+M106-V105,IF(A106&lt;'Données projet'!$A$36,$K$205^A106,IF(A106='Données projet'!$A$36,'Données projet'!$B$36,N105+M106-V105)))</f>
        <v>207.10000000000002</v>
      </c>
      <c r="O106" s="13">
        <f>N106*VLOOKUP('Données projet'!$B$9,Paramètres!$A$1:$I$89,3,0)*VLOOKUP('Données projet'!$B$9,Paramètres!$A$1:$I$89,5,0)</f>
        <v>187.38408000000001</v>
      </c>
      <c r="P106" s="13">
        <f t="shared" si="87"/>
        <v>46.961144264128549</v>
      </c>
      <c r="Q106" s="20">
        <f t="shared" si="107"/>
        <v>408.15126559335721</v>
      </c>
      <c r="R106" s="59">
        <f t="shared" si="55"/>
        <v>701.48459892669052</v>
      </c>
      <c r="S106" s="59">
        <f ca="1">AVERAGE(OFFSET($R$3,0,0,'Données projet'!$E$9+1,1))-AVERAGE(OFFSET($H$3,0,0,'Données projet'!$E$9+1,1))</f>
        <v>173.91998182168385</v>
      </c>
      <c r="T106" s="59">
        <f t="shared" si="88"/>
        <v>72.011647893875363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17.938528947994751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17.938528947994751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-2.8421709430404007E-14</v>
      </c>
      <c r="AJ106" s="13">
        <f>AI106*VLOOKUP('Données projet'!$B$10,Paramètres!$A$1:$I$89,3,0)*VLOOKUP('Données projet'!$B$10,Paramètres!$A$1:$I$89,5,0)</f>
        <v>-3.0593128030886874E-14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150.9416300233616</v>
      </c>
      <c r="AO106" s="59">
        <f t="shared" si="90"/>
        <v>92.286636088269972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62.665903752608401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62.665903752608401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-2.8421709430404007E-14</v>
      </c>
      <c r="BE106" s="13">
        <f>BD106*VLOOKUP('Données projet'!$B$11,Paramètres!$A$1:$I$89,3,0)*VLOOKUP('Données projet'!$B$11,Paramètres!$A$1:$I$89,5,0)</f>
        <v>-2.7489477361086758E-14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131.02416800340484</v>
      </c>
      <c r="BJ106" s="59">
        <f t="shared" si="92"/>
        <v>79.394119001888555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56.308493226981462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56.308493226981462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-2.8421709430404007E-14</v>
      </c>
      <c r="BZ106" s="13">
        <f>BY106*VLOOKUP('Données projet'!$B$12,Paramètres!$A$1:$I$89,3,0)*VLOOKUP('Données projet'!$B$12,Paramètres!$A$1:$I$89,5,0)</f>
        <v>-2.5715962692629544E-14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119.62076457560073</v>
      </c>
      <c r="CE106" s="59">
        <f t="shared" si="94"/>
        <v>72.011647893875363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52.675687212337472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52.675687212337472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-2.8421709430404007E-14</v>
      </c>
      <c r="CU106" s="17">
        <f>CT106*VLOOKUP('Données projet'!$B$13,Paramètres!$A$1:$I$89,3,0)*VLOOKUP('Données projet'!$B$13,Paramètres!$A$1:$I$89,5,0)</f>
        <v>-3.0593128030886874E-14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150.9416300233616</v>
      </c>
      <c r="CZ106" s="59">
        <f t="shared" si="96"/>
        <v>92.286636088269972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62.665903752608401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62.665903752608401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439.99999999999943</v>
      </c>
      <c r="DP106" s="17">
        <f>DO106*VLOOKUP('Données projet'!$B$14,Paramètres!$A$1:$I$89,3,0)*VLOOKUP('Données projet'!$B$14,Paramètres!$A$1:$I$89,5,0)</f>
        <v>263.11999999999966</v>
      </c>
      <c r="DQ106" s="13">
        <f t="shared" si="97"/>
        <v>63.386973458751953</v>
      </c>
      <c r="DR106" s="20">
        <f t="shared" si="70"/>
        <v>568.66631210732578</v>
      </c>
      <c r="DS106" s="59">
        <f t="shared" si="71"/>
        <v>861.99964544065915</v>
      </c>
      <c r="DT106" s="59">
        <f ca="1">AVERAGE(OFFSET($DS$3,0,0,'Données projet'!$E$14+1,1))-AVERAGE(OFFSET($H$3,0,0,'Données projet'!$E$14+1,1))</f>
        <v>249.22792522076639</v>
      </c>
      <c r="DU106" s="59">
        <f t="shared" si="98"/>
        <v>244.53725944480669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24.856368945157588</v>
      </c>
      <c r="EB106" s="21">
        <f>EXP(-LN(2)/25)*EB105+(1-EXP(-LN(2)/25))/(LN(2)/25)*Calculateur!DW106*Calculateur!DY106*VLOOKUP('Données projet'!$B$14,Paramètres!$A$1:$I$89,3,0)*0.475*44/12</f>
        <v>6.7501223021639234</v>
      </c>
      <c r="EC106" s="21">
        <f>EXP(-LN(2)/2)*EC105+(1-EXP(-LN(2)/2))/(LN(2)/2)*DW106*DZ106*VLOOKUP('Données projet'!$B$14,Paramètres!$A$1:$I$89,3,0)*0.475*44/12</f>
        <v>2.0004429635341779E-5</v>
      </c>
      <c r="ED106" s="22">
        <f t="shared" si="72"/>
        <v>31.606511251751147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2.2737367544323206E-13</v>
      </c>
      <c r="EK106" s="17">
        <f>EJ106*VLOOKUP('Données projet'!$B$15,Paramètres!$A$1:$I$89,3,0)*VLOOKUP('Données projet'!$B$15,Paramètres!$A$1:$I$89,5,0)</f>
        <v>1.2710188457276673E-13</v>
      </c>
      <c r="EL106" s="13">
        <f t="shared" si="99"/>
        <v>1.856866851063998E-12</v>
      </c>
      <c r="EM106" s="20">
        <f t="shared" si="73"/>
        <v>3.4554122145673649E-12</v>
      </c>
      <c r="EN106" s="59">
        <f t="shared" si="74"/>
        <v>293.33333333333678</v>
      </c>
      <c r="EO106" s="59">
        <f ca="1">AVERAGE(OFFSET($EN$3,0,0,'Données projet'!$E$15+1,1))-AVERAGE(OFFSET($H$3,0,0,'Données projet'!$E$15+1,1))</f>
        <v>313.36787814924116</v>
      </c>
      <c r="EP106" s="59">
        <f t="shared" si="100"/>
        <v>438.72984487610216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103.53088767264002</v>
      </c>
      <c r="EW106" s="21">
        <f>EXP(-LN(2)/25)*EW105+(1-EXP(-LN(2)/25))/(LN(2)/25)*Calculateur!ER106*Calculateur!ET106*VLOOKUP('Données projet'!$B$15,Paramètres!$A$1:$I$89,3,0)*0.475*44/12</f>
        <v>14.36949703561657</v>
      </c>
      <c r="EX106" s="21">
        <f>EXP(-LN(2)/2)*EX105+(1-EXP(-LN(2)/2))/(LN(2)/2)*ER106*EU106*VLOOKUP('Données projet'!$B$15,Paramètres!$A$1:$I$89,3,0)*0.475*44/12</f>
        <v>3.996421811821661E-7</v>
      </c>
      <c r="EY106" s="22">
        <f t="shared" si="75"/>
        <v>117.90038510789877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1.7</v>
      </c>
      <c r="N107" s="13">
        <f>IF('Données projet'!$A$36&gt;35,N106+M107-V106,IF(A107&lt;'Données projet'!$A$36,$K$205^A107,IF(A107='Données projet'!$A$36,'Données projet'!$B$36,N106+M107-V106)))</f>
        <v>208.8</v>
      </c>
      <c r="O107" s="13">
        <f>N107*VLOOKUP('Données projet'!$B$9,Paramètres!$A$1:$I$89,3,0)*VLOOKUP('Données projet'!$B$9,Paramètres!$A$1:$I$89,5,0)</f>
        <v>188.92224000000002</v>
      </c>
      <c r="P107" s="13">
        <f t="shared" si="87"/>
        <v>47.301596587246017</v>
      </c>
      <c r="Q107" s="20">
        <f t="shared" si="107"/>
        <v>411.42318205612014</v>
      </c>
      <c r="R107" s="59">
        <f t="shared" si="55"/>
        <v>704.7565153894534</v>
      </c>
      <c r="S107" s="59">
        <f ca="1">AVERAGE(OFFSET($R$3,0,0,'Données projet'!$E$9+1,1))-AVERAGE(OFFSET($H$3,0,0,'Données projet'!$E$9+1,1))</f>
        <v>173.91998182168385</v>
      </c>
      <c r="T107" s="59">
        <f t="shared" si="88"/>
        <v>72.011647893875363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17.586765336746858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17.586765336746858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-2.8421709430404007E-14</v>
      </c>
      <c r="AJ107" s="13">
        <f>AI107*VLOOKUP('Données projet'!$B$10,Paramètres!$A$1:$I$89,3,0)*VLOOKUP('Données projet'!$B$10,Paramètres!$A$1:$I$89,5,0)</f>
        <v>-3.0593128030886874E-14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150.9416300233616</v>
      </c>
      <c r="AO107" s="59">
        <f t="shared" si="90"/>
        <v>92.286636088269972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61.437063602446891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61.437063602446891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-2.8421709430404007E-14</v>
      </c>
      <c r="BE107" s="13">
        <f>BD107*VLOOKUP('Données projet'!$B$11,Paramètres!$A$1:$I$89,3,0)*VLOOKUP('Données projet'!$B$11,Paramètres!$A$1:$I$89,5,0)</f>
        <v>-2.7489477361086758E-14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131.02416800340484</v>
      </c>
      <c r="BJ107" s="59">
        <f t="shared" si="92"/>
        <v>79.394119001888555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55.204318019589955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55.204318019589955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-2.8421709430404007E-14</v>
      </c>
      <c r="BZ107" s="13">
        <f>BY107*VLOOKUP('Données projet'!$B$12,Paramètres!$A$1:$I$89,3,0)*VLOOKUP('Données projet'!$B$12,Paramètres!$A$1:$I$89,5,0)</f>
        <v>-2.5715962692629544E-14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119.62076457560073</v>
      </c>
      <c r="CE107" s="59">
        <f t="shared" si="94"/>
        <v>72.011647893875363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51.642749115100258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51.642749115100258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-2.8421709430404007E-14</v>
      </c>
      <c r="CU107" s="17">
        <f>CT107*VLOOKUP('Données projet'!$B$13,Paramètres!$A$1:$I$89,3,0)*VLOOKUP('Données projet'!$B$13,Paramètres!$A$1:$I$89,5,0)</f>
        <v>-3.0593128030886874E-14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150.9416300233616</v>
      </c>
      <c r="CZ107" s="59">
        <f t="shared" si="96"/>
        <v>92.286636088269972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61.437063602446891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61.437063602446891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439.99999999999943</v>
      </c>
      <c r="DP107" s="17">
        <f>DO107*VLOOKUP('Données projet'!$B$14,Paramètres!$A$1:$I$89,3,0)*VLOOKUP('Données projet'!$B$14,Paramètres!$A$1:$I$89,5,0)</f>
        <v>263.11999999999966</v>
      </c>
      <c r="DQ107" s="13">
        <f t="shared" si="97"/>
        <v>63.386973458751953</v>
      </c>
      <c r="DR107" s="20">
        <f t="shared" si="70"/>
        <v>568.66631210732578</v>
      </c>
      <c r="DS107" s="59">
        <f t="shared" si="71"/>
        <v>861.99964544065915</v>
      </c>
      <c r="DT107" s="59">
        <f ca="1">AVERAGE(OFFSET($DS$3,0,0,'Données projet'!$E$14+1,1))-AVERAGE(OFFSET($H$3,0,0,'Données projet'!$E$14+1,1))</f>
        <v>249.22792522076639</v>
      </c>
      <c r="DU107" s="59">
        <f t="shared" si="98"/>
        <v>244.53725944480669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24.36895071103109</v>
      </c>
      <c r="EB107" s="21">
        <f>EXP(-LN(2)/25)*EB106+(1-EXP(-LN(2)/25))/(LN(2)/25)*Calculateur!DW107*Calculateur!DY107*VLOOKUP('Données projet'!$B$14,Paramètres!$A$1:$I$89,3,0)*0.475*44/12</f>
        <v>6.5655398528377464</v>
      </c>
      <c r="EC107" s="21">
        <f>EXP(-LN(2)/2)*EC106+(1-EXP(-LN(2)/2))/(LN(2)/2)*DW107*DZ107*VLOOKUP('Données projet'!$B$14,Paramètres!$A$1:$I$89,3,0)*0.475*44/12</f>
        <v>1.4145267848919306E-5</v>
      </c>
      <c r="ED107" s="22">
        <f t="shared" si="72"/>
        <v>30.934504709136682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2.2737367544323206E-13</v>
      </c>
      <c r="EK107" s="17">
        <f>EJ107*VLOOKUP('Données projet'!$B$15,Paramètres!$A$1:$I$89,3,0)*VLOOKUP('Données projet'!$B$15,Paramètres!$A$1:$I$89,5,0)</f>
        <v>1.2710188457276673E-13</v>
      </c>
      <c r="EL107" s="13">
        <f t="shared" si="99"/>
        <v>1.856866851063998E-12</v>
      </c>
      <c r="EM107" s="20">
        <f t="shared" si="73"/>
        <v>3.4554122145673649E-12</v>
      </c>
      <c r="EN107" s="59">
        <f t="shared" si="74"/>
        <v>293.33333333333678</v>
      </c>
      <c r="EO107" s="59">
        <f ca="1">AVERAGE(OFFSET($EN$3,0,0,'Données projet'!$E$15+1,1))-AVERAGE(OFFSET($H$3,0,0,'Données projet'!$E$15+1,1))</f>
        <v>313.36787814924116</v>
      </c>
      <c r="EP107" s="59">
        <f t="shared" si="100"/>
        <v>438.72984487610216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101.50071011298571</v>
      </c>
      <c r="EW107" s="21">
        <f>EXP(-LN(2)/25)*EW106+(1-EXP(-LN(2)/25))/(LN(2)/25)*Calculateur!ER107*Calculateur!ET107*VLOOKUP('Données projet'!$B$15,Paramètres!$A$1:$I$89,3,0)*0.475*44/12</f>
        <v>13.976562383518628</v>
      </c>
      <c r="EX107" s="21">
        <f>EXP(-LN(2)/2)*EX106+(1-EXP(-LN(2)/2))/(LN(2)/2)*ER107*EU107*VLOOKUP('Données projet'!$B$15,Paramètres!$A$1:$I$89,3,0)*0.475*44/12</f>
        <v>2.825896963620925E-7</v>
      </c>
      <c r="EY107" s="22">
        <f t="shared" si="75"/>
        <v>115.47727277909404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1.7</v>
      </c>
      <c r="N108" s="13">
        <f>IF('Données projet'!$A$36&gt;35,N107+M108-V107,IF(A108&lt;'Données projet'!$A$36,$K$205^A108,IF(A108='Données projet'!$A$36,'Données projet'!$B$36,N107+M108-V107)))</f>
        <v>210.5</v>
      </c>
      <c r="O108" s="13">
        <f>N108*VLOOKUP('Données projet'!$B$9,Paramètres!$A$1:$I$89,3,0)*VLOOKUP('Données projet'!$B$9,Paramètres!$A$1:$I$89,5,0)</f>
        <v>190.46039999999999</v>
      </c>
      <c r="P108" s="13">
        <f t="shared" si="87"/>
        <v>47.641726412375149</v>
      </c>
      <c r="Q108" s="20">
        <f t="shared" si="107"/>
        <v>414.69453683488672</v>
      </c>
      <c r="R108" s="59">
        <f t="shared" si="55"/>
        <v>708.02787016822003</v>
      </c>
      <c r="S108" s="59">
        <f ca="1">AVERAGE(OFFSET($R$3,0,0,'Données projet'!$E$9+1,1))-AVERAGE(OFFSET($H$3,0,0,'Données projet'!$E$9+1,1))</f>
        <v>173.91998182168385</v>
      </c>
      <c r="T108" s="59">
        <f t="shared" si="88"/>
        <v>72.011647893875363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17.241899595360916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17.241899595360916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-2.8421709430404007E-14</v>
      </c>
      <c r="AJ108" s="13">
        <f>AI108*VLOOKUP('Données projet'!$B$10,Paramètres!$A$1:$I$89,3,0)*VLOOKUP('Données projet'!$B$10,Paramètres!$A$1:$I$89,5,0)</f>
        <v>-3.0593128030886874E-14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150.9416300233616</v>
      </c>
      <c r="AO108" s="59">
        <f t="shared" si="90"/>
        <v>92.286636088269972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60.232320258111564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60.232320258111564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-2.8421709430404007E-14</v>
      </c>
      <c r="BE108" s="13">
        <f>BD108*VLOOKUP('Données projet'!$B$11,Paramètres!$A$1:$I$89,3,0)*VLOOKUP('Données projet'!$B$11,Paramètres!$A$1:$I$89,5,0)</f>
        <v>-2.7489477361086758E-14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131.02416800340484</v>
      </c>
      <c r="BJ108" s="59">
        <f t="shared" si="92"/>
        <v>79.394119001888555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54.121795014535024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54.121795014535024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-2.8421709430404007E-14</v>
      </c>
      <c r="BZ108" s="13">
        <f>BY108*VLOOKUP('Données projet'!$B$12,Paramètres!$A$1:$I$89,3,0)*VLOOKUP('Données projet'!$B$12,Paramètres!$A$1:$I$89,5,0)</f>
        <v>-2.5715962692629544E-14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119.62076457560073</v>
      </c>
      <c r="CE108" s="59">
        <f t="shared" si="94"/>
        <v>72.011647893875363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50.63006630391984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50.63006630391984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-2.8421709430404007E-14</v>
      </c>
      <c r="CU108" s="17">
        <f>CT108*VLOOKUP('Données projet'!$B$13,Paramètres!$A$1:$I$89,3,0)*VLOOKUP('Données projet'!$B$13,Paramètres!$A$1:$I$89,5,0)</f>
        <v>-3.0593128030886874E-14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150.9416300233616</v>
      </c>
      <c r="CZ108" s="59">
        <f t="shared" si="96"/>
        <v>92.286636088269972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60.232320258111564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60.232320258111564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439.99999999999943</v>
      </c>
      <c r="DP108" s="17">
        <f>DO108*VLOOKUP('Données projet'!$B$14,Paramètres!$A$1:$I$89,3,0)*VLOOKUP('Données projet'!$B$14,Paramètres!$A$1:$I$89,5,0)</f>
        <v>263.11999999999966</v>
      </c>
      <c r="DQ108" s="13">
        <f t="shared" si="97"/>
        <v>63.386973458751953</v>
      </c>
      <c r="DR108" s="20">
        <f t="shared" si="70"/>
        <v>568.66631210732578</v>
      </c>
      <c r="DS108" s="59">
        <f t="shared" si="71"/>
        <v>861.99964544065915</v>
      </c>
      <c r="DT108" s="59">
        <f ca="1">AVERAGE(OFFSET($DS$3,0,0,'Données projet'!$E$14+1,1))-AVERAGE(OFFSET($H$3,0,0,'Données projet'!$E$14+1,1))</f>
        <v>249.22792522076639</v>
      </c>
      <c r="DU108" s="59">
        <f t="shared" si="98"/>
        <v>244.53725944480669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23.891090451180045</v>
      </c>
      <c r="EB108" s="21">
        <f>EXP(-LN(2)/25)*EB107+(1-EXP(-LN(2)/25))/(LN(2)/25)*Calculateur!DW108*Calculateur!DY108*VLOOKUP('Données projet'!$B$14,Paramètres!$A$1:$I$89,3,0)*0.475*44/12</f>
        <v>6.3860048202951631</v>
      </c>
      <c r="EC108" s="21">
        <f>EXP(-LN(2)/2)*EC107+(1-EXP(-LN(2)/2))/(LN(2)/2)*DW108*DZ108*VLOOKUP('Données projet'!$B$14,Paramètres!$A$1:$I$89,3,0)*0.475*44/12</f>
        <v>1.0002214817670889E-5</v>
      </c>
      <c r="ED108" s="22">
        <f t="shared" si="72"/>
        <v>30.277105273690026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2.2737367544323206E-13</v>
      </c>
      <c r="EK108" s="17">
        <f>EJ108*VLOOKUP('Données projet'!$B$15,Paramètres!$A$1:$I$89,3,0)*VLOOKUP('Données projet'!$B$15,Paramètres!$A$1:$I$89,5,0)</f>
        <v>1.2710188457276673E-13</v>
      </c>
      <c r="EL108" s="13">
        <f t="shared" si="99"/>
        <v>1.856866851063998E-12</v>
      </c>
      <c r="EM108" s="20">
        <f t="shared" si="73"/>
        <v>3.4554122145673649E-12</v>
      </c>
      <c r="EN108" s="59">
        <f t="shared" si="74"/>
        <v>293.33333333333678</v>
      </c>
      <c r="EO108" s="59">
        <f ca="1">AVERAGE(OFFSET($EN$3,0,0,'Données projet'!$E$15+1,1))-AVERAGE(OFFSET($H$3,0,0,'Données projet'!$E$15+1,1))</f>
        <v>313.36787814924116</v>
      </c>
      <c r="EP108" s="59">
        <f t="shared" si="100"/>
        <v>438.72984487610216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99.510343096990198</v>
      </c>
      <c r="EW108" s="21">
        <f>EXP(-LN(2)/25)*EW107+(1-EXP(-LN(2)/25))/(LN(2)/25)*Calculateur!ER108*Calculateur!ET108*VLOOKUP('Données projet'!$B$15,Paramètres!$A$1:$I$89,3,0)*0.475*44/12</f>
        <v>13.59437255014584</v>
      </c>
      <c r="EX108" s="21">
        <f>EXP(-LN(2)/2)*EX107+(1-EXP(-LN(2)/2))/(LN(2)/2)*ER108*EU108*VLOOKUP('Données projet'!$B$15,Paramètres!$A$1:$I$89,3,0)*0.475*44/12</f>
        <v>1.9982109059108305E-7</v>
      </c>
      <c r="EY108" s="22">
        <f t="shared" si="75"/>
        <v>113.10471584695712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1.7</v>
      </c>
      <c r="N109" s="13">
        <f>IF('Données projet'!$A$36&gt;35,N108+M109-V108,IF(A109&lt;'Données projet'!$A$36,$K$205^A109,IF(A109='Données projet'!$A$36,'Données projet'!$B$36,N108+M109-V108)))</f>
        <v>212.2</v>
      </c>
      <c r="O109" s="13">
        <f>N109*VLOOKUP('Données projet'!$B$9,Paramètres!$A$1:$I$89,3,0)*VLOOKUP('Données projet'!$B$9,Paramètres!$A$1:$I$89,5,0)</f>
        <v>191.99855999999997</v>
      </c>
      <c r="P109" s="13">
        <f t="shared" si="87"/>
        <v>47.981536645873334</v>
      </c>
      <c r="Q109" s="20">
        <f t="shared" si="107"/>
        <v>417.96533499156266</v>
      </c>
      <c r="R109" s="59">
        <f t="shared" si="55"/>
        <v>711.29866832489597</v>
      </c>
      <c r="S109" s="59">
        <f ca="1">AVERAGE(OFFSET($R$3,0,0,'Données projet'!$E$9+1,1))-AVERAGE(OFFSET($H$3,0,0,'Données projet'!$E$9+1,1))</f>
        <v>173.91998182168385</v>
      </c>
      <c r="T109" s="59">
        <f t="shared" si="88"/>
        <v>72.011647893875363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16.903796460816221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16.903796460816221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-2.8421709430404007E-14</v>
      </c>
      <c r="AJ109" s="13">
        <f>AI109*VLOOKUP('Données projet'!$B$10,Paramètres!$A$1:$I$89,3,0)*VLOOKUP('Données projet'!$B$10,Paramètres!$A$1:$I$89,5,0)</f>
        <v>-3.0593128030886874E-14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150.9416300233616</v>
      </c>
      <c r="AO109" s="59">
        <f t="shared" si="90"/>
        <v>92.286636088269972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59.051201195937772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59.051201195937772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-2.8421709430404007E-14</v>
      </c>
      <c r="BE109" s="13">
        <f>BD109*VLOOKUP('Données projet'!$B$11,Paramètres!$A$1:$I$89,3,0)*VLOOKUP('Données projet'!$B$11,Paramètres!$A$1:$I$89,5,0)</f>
        <v>-2.7489477361086758E-14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131.02416800340484</v>
      </c>
      <c r="BJ109" s="59">
        <f t="shared" si="92"/>
        <v>79.394119001888555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53.060499625335382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53.060499625335382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-2.8421709430404007E-14</v>
      </c>
      <c r="BZ109" s="13">
        <f>BY109*VLOOKUP('Données projet'!$B$12,Paramètres!$A$1:$I$89,3,0)*VLOOKUP('Données projet'!$B$12,Paramètres!$A$1:$I$89,5,0)</f>
        <v>-2.5715962692629544E-14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119.62076457560073</v>
      </c>
      <c r="CE109" s="59">
        <f t="shared" si="94"/>
        <v>72.011647893875363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49.637241584991145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49.637241584991145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-2.8421709430404007E-14</v>
      </c>
      <c r="CU109" s="17">
        <f>CT109*VLOOKUP('Données projet'!$B$13,Paramètres!$A$1:$I$89,3,0)*VLOOKUP('Données projet'!$B$13,Paramètres!$A$1:$I$89,5,0)</f>
        <v>-3.0593128030886874E-14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150.9416300233616</v>
      </c>
      <c r="CZ109" s="59">
        <f t="shared" si="96"/>
        <v>92.286636088269972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59.051201195937772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59.051201195937772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439.99999999999943</v>
      </c>
      <c r="DP109" s="17">
        <f>DO109*VLOOKUP('Données projet'!$B$14,Paramètres!$A$1:$I$89,3,0)*VLOOKUP('Données projet'!$B$14,Paramètres!$A$1:$I$89,5,0)</f>
        <v>263.11999999999966</v>
      </c>
      <c r="DQ109" s="13">
        <f t="shared" si="97"/>
        <v>63.386973458751953</v>
      </c>
      <c r="DR109" s="20">
        <f t="shared" si="70"/>
        <v>568.66631210732578</v>
      </c>
      <c r="DS109" s="59">
        <f t="shared" si="71"/>
        <v>861.99964544065915</v>
      </c>
      <c r="DT109" s="59">
        <f ca="1">AVERAGE(OFFSET($DS$3,0,0,'Données projet'!$E$14+1,1))-AVERAGE(OFFSET($H$3,0,0,'Données projet'!$E$14+1,1))</f>
        <v>249.22792522076639</v>
      </c>
      <c r="DU109" s="59">
        <f t="shared" si="98"/>
        <v>244.53725944480669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23.4226007395587</v>
      </c>
      <c r="EB109" s="21">
        <f>EXP(-LN(2)/25)*EB108+(1-EXP(-LN(2)/25))/(LN(2)/25)*Calculateur!DW109*Calculateur!DY109*VLOOKUP('Données projet'!$B$14,Paramètres!$A$1:$I$89,3,0)*0.475*44/12</f>
        <v>6.2113791826587939</v>
      </c>
      <c r="EC109" s="21">
        <f>EXP(-LN(2)/2)*EC108+(1-EXP(-LN(2)/2))/(LN(2)/2)*DW109*DZ109*VLOOKUP('Données projet'!$B$14,Paramètres!$A$1:$I$89,3,0)*0.475*44/12</f>
        <v>7.0726339244596531E-6</v>
      </c>
      <c r="ED109" s="22">
        <f t="shared" si="72"/>
        <v>29.633986994851416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2.2737367544323206E-13</v>
      </c>
      <c r="EK109" s="17">
        <f>EJ109*VLOOKUP('Données projet'!$B$15,Paramètres!$A$1:$I$89,3,0)*VLOOKUP('Données projet'!$B$15,Paramètres!$A$1:$I$89,5,0)</f>
        <v>1.2710188457276673E-13</v>
      </c>
      <c r="EL109" s="13">
        <f t="shared" si="99"/>
        <v>1.856866851063998E-12</v>
      </c>
      <c r="EM109" s="20">
        <f t="shared" si="73"/>
        <v>3.4554122145673649E-12</v>
      </c>
      <c r="EN109" s="59">
        <f t="shared" si="74"/>
        <v>293.33333333333678</v>
      </c>
      <c r="EO109" s="59">
        <f ca="1">AVERAGE(OFFSET($EN$3,0,0,'Données projet'!$E$15+1,1))-AVERAGE(OFFSET($H$3,0,0,'Données projet'!$E$15+1,1))</f>
        <v>313.36787814924116</v>
      </c>
      <c r="EP109" s="59">
        <f t="shared" si="100"/>
        <v>438.72984487610216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97.559005964174347</v>
      </c>
      <c r="EW109" s="21">
        <f>EXP(-LN(2)/25)*EW108+(1-EXP(-LN(2)/25))/(LN(2)/25)*Calculateur!ER109*Calculateur!ET109*VLOOKUP('Données projet'!$B$15,Paramètres!$A$1:$I$89,3,0)*0.475*44/12</f>
        <v>13.22263371786512</v>
      </c>
      <c r="EX109" s="21">
        <f>EXP(-LN(2)/2)*EX108+(1-EXP(-LN(2)/2))/(LN(2)/2)*ER109*EU109*VLOOKUP('Données projet'!$B$15,Paramètres!$A$1:$I$89,3,0)*0.475*44/12</f>
        <v>1.4129484818104625E-7</v>
      </c>
      <c r="EY109" s="22">
        <f t="shared" si="75"/>
        <v>110.78163982333432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1.7</v>
      </c>
      <c r="N110" s="13">
        <f>IF('Données projet'!$A$36&gt;35,N109+M110-V109,IF(A110&lt;'Données projet'!$A$36,$K$205^A110,IF(A110='Données projet'!$A$36,'Données projet'!$B$36,N109+M110-V109)))</f>
        <v>213.89999999999998</v>
      </c>
      <c r="O110" s="13">
        <f>N110*VLOOKUP('Données projet'!$B$9,Paramètres!$A$1:$I$89,3,0)*VLOOKUP('Données projet'!$B$9,Paramètres!$A$1:$I$89,5,0)</f>
        <v>193.53671999999997</v>
      </c>
      <c r="P110" s="13">
        <f t="shared" si="87"/>
        <v>48.321030144841785</v>
      </c>
      <c r="Q110" s="20">
        <f t="shared" si="107"/>
        <v>421.23558150226609</v>
      </c>
      <c r="R110" s="59">
        <f t="shared" si="55"/>
        <v>714.56891483559934</v>
      </c>
      <c r="S110" s="59">
        <f ca="1">AVERAGE(OFFSET($R$3,0,0,'Données projet'!$E$9+1,1))-AVERAGE(OFFSET($H$3,0,0,'Données projet'!$E$9+1,1))</f>
        <v>173.91998182168385</v>
      </c>
      <c r="T110" s="59">
        <f t="shared" si="88"/>
        <v>72.011647893875363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16.572323322517398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16.572323322517398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-2.8421709430404007E-14</v>
      </c>
      <c r="AJ110" s="13">
        <f>AI110*VLOOKUP('Données projet'!$B$10,Paramètres!$A$1:$I$89,3,0)*VLOOKUP('Données projet'!$B$10,Paramètres!$A$1:$I$89,5,0)</f>
        <v>-3.0593128030886874E-14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150.9416300233616</v>
      </c>
      <c r="AO110" s="59">
        <f t="shared" si="90"/>
        <v>92.286636088269972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57.89324315816171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57.89324315816171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-2.8421709430404007E-14</v>
      </c>
      <c r="BE110" s="13">
        <f>BD110*VLOOKUP('Données projet'!$B$11,Paramètres!$A$1:$I$89,3,0)*VLOOKUP('Données projet'!$B$11,Paramètres!$A$1:$I$89,5,0)</f>
        <v>-2.7489477361086758E-14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131.02416800340484</v>
      </c>
      <c r="BJ110" s="59">
        <f t="shared" si="92"/>
        <v>79.394119001888555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52.020015591391676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52.020015591391676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-2.8421709430404007E-14</v>
      </c>
      <c r="BZ110" s="13">
        <f>BY110*VLOOKUP('Données projet'!$B$12,Paramètres!$A$1:$I$89,3,0)*VLOOKUP('Données projet'!$B$12,Paramètres!$A$1:$I$89,5,0)</f>
        <v>-2.5715962692629544E-14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119.62076457560073</v>
      </c>
      <c r="CE110" s="59">
        <f t="shared" si="94"/>
        <v>72.011647893875363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48.663885553237357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48.663885553237357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-2.8421709430404007E-14</v>
      </c>
      <c r="CU110" s="17">
        <f>CT110*VLOOKUP('Données projet'!$B$13,Paramètres!$A$1:$I$89,3,0)*VLOOKUP('Données projet'!$B$13,Paramètres!$A$1:$I$89,5,0)</f>
        <v>-3.0593128030886874E-14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150.9416300233616</v>
      </c>
      <c r="CZ110" s="59">
        <f t="shared" si="96"/>
        <v>92.286636088269972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57.89324315816171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57.89324315816171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439.99999999999943</v>
      </c>
      <c r="DP110" s="17">
        <f>DO110*VLOOKUP('Données projet'!$B$14,Paramètres!$A$1:$I$89,3,0)*VLOOKUP('Données projet'!$B$14,Paramètres!$A$1:$I$89,5,0)</f>
        <v>263.11999999999966</v>
      </c>
      <c r="DQ110" s="13">
        <f t="shared" si="97"/>
        <v>63.386973458751953</v>
      </c>
      <c r="DR110" s="20">
        <f t="shared" si="70"/>
        <v>568.66631210732578</v>
      </c>
      <c r="DS110" s="59">
        <f t="shared" si="71"/>
        <v>861.99964544065915</v>
      </c>
      <c r="DT110" s="59">
        <f ca="1">AVERAGE(OFFSET($DS$3,0,0,'Données projet'!$E$14+1,1))-AVERAGE(OFFSET($H$3,0,0,'Données projet'!$E$14+1,1))</f>
        <v>249.22792522076639</v>
      </c>
      <c r="DU110" s="59">
        <f t="shared" si="98"/>
        <v>244.53725944480669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22.963297825431741</v>
      </c>
      <c r="EB110" s="21">
        <f>EXP(-LN(2)/25)*EB109+(1-EXP(-LN(2)/25))/(LN(2)/25)*Calculateur!DW110*Calculateur!DY110*VLOOKUP('Données projet'!$B$14,Paramètres!$A$1:$I$89,3,0)*0.475*44/12</f>
        <v>6.0415286922667546</v>
      </c>
      <c r="EC110" s="21">
        <f>EXP(-LN(2)/2)*EC109+(1-EXP(-LN(2)/2))/(LN(2)/2)*DW110*DZ110*VLOOKUP('Données projet'!$B$14,Paramètres!$A$1:$I$89,3,0)*0.475*44/12</f>
        <v>5.0011074088354447E-6</v>
      </c>
      <c r="ED110" s="22">
        <f t="shared" si="72"/>
        <v>29.004831518805904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2.2737367544323206E-13</v>
      </c>
      <c r="EK110" s="17">
        <f>EJ110*VLOOKUP('Données projet'!$B$15,Paramètres!$A$1:$I$89,3,0)*VLOOKUP('Données projet'!$B$15,Paramètres!$A$1:$I$89,5,0)</f>
        <v>1.2710188457276673E-13</v>
      </c>
      <c r="EL110" s="13">
        <f t="shared" si="99"/>
        <v>1.856866851063998E-12</v>
      </c>
      <c r="EM110" s="20">
        <f t="shared" si="73"/>
        <v>3.4554122145673649E-12</v>
      </c>
      <c r="EN110" s="59">
        <f t="shared" si="74"/>
        <v>293.33333333333678</v>
      </c>
      <c r="EO110" s="59">
        <f ca="1">AVERAGE(OFFSET($EN$3,0,0,'Données projet'!$E$15+1,1))-AVERAGE(OFFSET($H$3,0,0,'Données projet'!$E$15+1,1))</f>
        <v>313.36787814924116</v>
      </c>
      <c r="EP110" s="59">
        <f t="shared" si="100"/>
        <v>438.72984487610216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95.645933362334887</v>
      </c>
      <c r="EW110" s="21">
        <f>EXP(-LN(2)/25)*EW109+(1-EXP(-LN(2)/25))/(LN(2)/25)*Calculateur!ER110*Calculateur!ET110*VLOOKUP('Données projet'!$B$15,Paramètres!$A$1:$I$89,3,0)*0.475*44/12</f>
        <v>12.861060103502012</v>
      </c>
      <c r="EX110" s="21">
        <f>EXP(-LN(2)/2)*EX109+(1-EXP(-LN(2)/2))/(LN(2)/2)*ER110*EU110*VLOOKUP('Données projet'!$B$15,Paramètres!$A$1:$I$89,3,0)*0.475*44/12</f>
        <v>9.9910545295541526E-8</v>
      </c>
      <c r="EY110" s="22">
        <f t="shared" si="75"/>
        <v>108.50699356574745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1.7</v>
      </c>
      <c r="N111" s="13">
        <f>IF('Données projet'!$A$36&gt;35,N110+M111-V110,IF(A111&lt;'Données projet'!$A$36,$K$205^A111,IF(A111='Données projet'!$A$36,'Données projet'!$B$36,N110+M111-V110)))</f>
        <v>215.59999999999997</v>
      </c>
      <c r="O111" s="13">
        <f>N111*VLOOKUP('Données projet'!$B$9,Paramètres!$A$1:$I$89,3,0)*VLOOKUP('Données projet'!$B$9,Paramètres!$A$1:$I$89,5,0)</f>
        <v>195.07487999999998</v>
      </c>
      <c r="P111" s="13">
        <f t="shared" si="87"/>
        <v>48.660209718344753</v>
      </c>
      <c r="Q111" s="20">
        <f t="shared" si="107"/>
        <v>424.50528125945038</v>
      </c>
      <c r="R111" s="59">
        <f t="shared" si="55"/>
        <v>717.83861459278364</v>
      </c>
      <c r="S111" s="59">
        <f ca="1">AVERAGE(OFFSET($R$3,0,0,'Données projet'!$E$9+1,1))-AVERAGE(OFFSET($H$3,0,0,'Données projet'!$E$9+1,1))</f>
        <v>173.91998182168385</v>
      </c>
      <c r="T111" s="59">
        <f t="shared" si="88"/>
        <v>72.011647893875363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16.247350170281965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16.247350170281965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-2.8421709430404007E-14</v>
      </c>
      <c r="AJ111" s="13">
        <f>AI111*VLOOKUP('Données projet'!$B$10,Paramètres!$A$1:$I$89,3,0)*VLOOKUP('Données projet'!$B$10,Paramètres!$A$1:$I$89,5,0)</f>
        <v>-3.0593128030886874E-14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150.9416300233616</v>
      </c>
      <c r="AO111" s="59">
        <f t="shared" si="90"/>
        <v>92.286636088269972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56.757991971221777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56.757991971221777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-2.8421709430404007E-14</v>
      </c>
      <c r="BE111" s="13">
        <f>BD111*VLOOKUP('Données projet'!$B$11,Paramètres!$A$1:$I$89,3,0)*VLOOKUP('Données projet'!$B$11,Paramètres!$A$1:$I$89,5,0)</f>
        <v>-2.7489477361086758E-14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131.02416800340484</v>
      </c>
      <c r="BJ111" s="59">
        <f t="shared" si="92"/>
        <v>79.394119001888555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50.999934814721009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50.999934814721009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-2.8421709430404007E-14</v>
      </c>
      <c r="BZ111" s="13">
        <f>BY111*VLOOKUP('Données projet'!$B$12,Paramètres!$A$1:$I$89,3,0)*VLOOKUP('Données projet'!$B$12,Paramètres!$A$1:$I$89,5,0)</f>
        <v>-2.5715962692629544E-14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119.62076457560073</v>
      </c>
      <c r="CE111" s="59">
        <f t="shared" si="94"/>
        <v>72.011647893875363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47.709616439577701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47.709616439577701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-2.8421709430404007E-14</v>
      </c>
      <c r="CU111" s="17">
        <f>CT111*VLOOKUP('Données projet'!$B$13,Paramètres!$A$1:$I$89,3,0)*VLOOKUP('Données projet'!$B$13,Paramètres!$A$1:$I$89,5,0)</f>
        <v>-3.0593128030886874E-14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150.9416300233616</v>
      </c>
      <c r="CZ111" s="59">
        <f t="shared" si="96"/>
        <v>92.286636088269972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56.757991971221777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56.757991971221777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439.99999999999943</v>
      </c>
      <c r="DP111" s="17">
        <f>DO111*VLOOKUP('Données projet'!$B$14,Paramètres!$A$1:$I$89,3,0)*VLOOKUP('Données projet'!$B$14,Paramètres!$A$1:$I$89,5,0)</f>
        <v>263.11999999999966</v>
      </c>
      <c r="DQ111" s="13">
        <f t="shared" si="97"/>
        <v>63.386973458751953</v>
      </c>
      <c r="DR111" s="20">
        <f t="shared" si="70"/>
        <v>568.66631210732578</v>
      </c>
      <c r="DS111" s="59">
        <f t="shared" si="71"/>
        <v>861.99964544065915</v>
      </c>
      <c r="DT111" s="59">
        <f ca="1">AVERAGE(OFFSET($DS$3,0,0,'Données projet'!$E$14+1,1))-AVERAGE(OFFSET($H$3,0,0,'Données projet'!$E$14+1,1))</f>
        <v>249.22792522076639</v>
      </c>
      <c r="DU111" s="59">
        <f t="shared" si="98"/>
        <v>244.53725944480669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22.5130015613037</v>
      </c>
      <c r="EB111" s="21">
        <f>EXP(-LN(2)/25)*EB110+(1-EXP(-LN(2)/25))/(LN(2)/25)*Calculateur!DW111*Calculateur!DY111*VLOOKUP('Données projet'!$B$14,Paramètres!$A$1:$I$89,3,0)*0.475*44/12</f>
        <v>5.8763227724665343</v>
      </c>
      <c r="EC111" s="21">
        <f>EXP(-LN(2)/2)*EC110+(1-EXP(-LN(2)/2))/(LN(2)/2)*DW111*DZ111*VLOOKUP('Données projet'!$B$14,Paramètres!$A$1:$I$89,3,0)*0.475*44/12</f>
        <v>3.5363169622298265E-6</v>
      </c>
      <c r="ED111" s="22">
        <f t="shared" si="72"/>
        <v>28.389327870087197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2.2737367544323206E-13</v>
      </c>
      <c r="EK111" s="17">
        <f>EJ111*VLOOKUP('Données projet'!$B$15,Paramètres!$A$1:$I$89,3,0)*VLOOKUP('Données projet'!$B$15,Paramètres!$A$1:$I$89,5,0)</f>
        <v>1.2710188457276673E-13</v>
      </c>
      <c r="EL111" s="13">
        <f t="shared" si="99"/>
        <v>1.856866851063998E-12</v>
      </c>
      <c r="EM111" s="20">
        <f t="shared" si="73"/>
        <v>3.4554122145673649E-12</v>
      </c>
      <c r="EN111" s="59">
        <f t="shared" si="74"/>
        <v>293.33333333333678</v>
      </c>
      <c r="EO111" s="59">
        <f ca="1">AVERAGE(OFFSET($EN$3,0,0,'Données projet'!$E$15+1,1))-AVERAGE(OFFSET($H$3,0,0,'Données projet'!$E$15+1,1))</f>
        <v>313.36787814924116</v>
      </c>
      <c r="EP111" s="59">
        <f t="shared" si="100"/>
        <v>438.72984487610216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93.77037494735842</v>
      </c>
      <c r="EW111" s="21">
        <f>EXP(-LN(2)/25)*EW110+(1-EXP(-LN(2)/25))/(LN(2)/25)*Calculateur!ER111*Calculateur!ET111*VLOOKUP('Données projet'!$B$15,Paramètres!$A$1:$I$89,3,0)*0.475*44/12</f>
        <v>12.509373738637994</v>
      </c>
      <c r="EX111" s="21">
        <f>EXP(-LN(2)/2)*EX110+(1-EXP(-LN(2)/2))/(LN(2)/2)*ER111*EU111*VLOOKUP('Données projet'!$B$15,Paramètres!$A$1:$I$89,3,0)*0.475*44/12</f>
        <v>7.0647424090523126E-8</v>
      </c>
      <c r="EY111" s="22">
        <f t="shared" si="75"/>
        <v>106.27974875664384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1.7</v>
      </c>
      <c r="N112" s="13">
        <f>IF('Données projet'!$A$36&gt;35,N111+M112-V111,IF(A112&lt;'Données projet'!$A$36,$K$205^A112,IF(A112='Données projet'!$A$36,'Données projet'!$B$36,N111+M112-V111)))</f>
        <v>217.29999999999995</v>
      </c>
      <c r="O112" s="13">
        <f>N112*VLOOKUP('Données projet'!$B$9,Paramètres!$A$1:$I$89,3,0)*VLOOKUP('Données projet'!$B$9,Paramètres!$A$1:$I$89,5,0)</f>
        <v>196.61303999999996</v>
      </c>
      <c r="P112" s="13">
        <f t="shared" si="87"/>
        <v>48.999078128589602</v>
      </c>
      <c r="Q112" s="20">
        <f t="shared" si="107"/>
        <v>427.77443907396014</v>
      </c>
      <c r="R112" s="59">
        <f t="shared" si="55"/>
        <v>721.1077724072934</v>
      </c>
      <c r="S112" s="59">
        <f ca="1">AVERAGE(OFFSET($R$3,0,0,'Données projet'!$E$9+1,1))-AVERAGE(OFFSET($H$3,0,0,'Données projet'!$E$9+1,1))</f>
        <v>173.91998182168385</v>
      </c>
      <c r="T112" s="59">
        <f t="shared" si="88"/>
        <v>72.011647893875363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15.928749543347818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15.928749543347818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-2.8421709430404007E-14</v>
      </c>
      <c r="AJ112" s="13">
        <f>AI112*VLOOKUP('Données projet'!$B$10,Paramètres!$A$1:$I$89,3,0)*VLOOKUP('Données projet'!$B$10,Paramètres!$A$1:$I$89,5,0)</f>
        <v>-3.0593128030886874E-14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150.9416300233616</v>
      </c>
      <c r="AO112" s="59">
        <f t="shared" si="90"/>
        <v>92.286636088269972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55.64500236762288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55.64500236762288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-2.8421709430404007E-14</v>
      </c>
      <c r="BE112" s="13">
        <f>BD112*VLOOKUP('Données projet'!$B$11,Paramètres!$A$1:$I$89,3,0)*VLOOKUP('Données projet'!$B$11,Paramètres!$A$1:$I$89,5,0)</f>
        <v>-2.7489477361086758E-14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131.02416800340484</v>
      </c>
      <c r="BJ112" s="59">
        <f t="shared" si="92"/>
        <v>79.394119001888555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49.999857199893015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49.999857199893015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-2.8421709430404007E-14</v>
      </c>
      <c r="BZ112" s="13">
        <f>BY112*VLOOKUP('Données projet'!$B$12,Paramètres!$A$1:$I$89,3,0)*VLOOKUP('Données projet'!$B$12,Paramètres!$A$1:$I$89,5,0)</f>
        <v>-2.5715962692629544E-14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119.62076457560073</v>
      </c>
      <c r="CE112" s="59">
        <f t="shared" si="94"/>
        <v>72.011647893875363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46.774059961190225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46.774059961190225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-2.8421709430404007E-14</v>
      </c>
      <c r="CU112" s="17">
        <f>CT112*VLOOKUP('Données projet'!$B$13,Paramètres!$A$1:$I$89,3,0)*VLOOKUP('Données projet'!$B$13,Paramètres!$A$1:$I$89,5,0)</f>
        <v>-3.0593128030886874E-14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150.9416300233616</v>
      </c>
      <c r="CZ112" s="59">
        <f t="shared" si="96"/>
        <v>92.286636088269972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55.64500236762288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55.64500236762288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439.99999999999943</v>
      </c>
      <c r="DP112" s="17">
        <f>DO112*VLOOKUP('Données projet'!$B$14,Paramètres!$A$1:$I$89,3,0)*VLOOKUP('Données projet'!$B$14,Paramètres!$A$1:$I$89,5,0)</f>
        <v>263.11999999999966</v>
      </c>
      <c r="DQ112" s="13">
        <f t="shared" si="97"/>
        <v>63.386973458751953</v>
      </c>
      <c r="DR112" s="20">
        <f t="shared" si="70"/>
        <v>568.66631210732578</v>
      </c>
      <c r="DS112" s="59">
        <f t="shared" si="71"/>
        <v>861.99964544065915</v>
      </c>
      <c r="DT112" s="59">
        <f ca="1">AVERAGE(OFFSET($DS$3,0,0,'Données projet'!$E$14+1,1))-AVERAGE(OFFSET($H$3,0,0,'Données projet'!$E$14+1,1))</f>
        <v>249.22792522076639</v>
      </c>
      <c r="DU112" s="59">
        <f t="shared" si="98"/>
        <v>244.53725944480669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22.071535332261607</v>
      </c>
      <c r="EB112" s="21">
        <f>EXP(-LN(2)/25)*EB111+(1-EXP(-LN(2)/25))/(LN(2)/25)*Calculateur!DW112*Calculateur!DY112*VLOOKUP('Données projet'!$B$14,Paramètres!$A$1:$I$89,3,0)*0.475*44/12</f>
        <v>5.7156344172310529</v>
      </c>
      <c r="EC112" s="21">
        <f>EXP(-LN(2)/2)*EC111+(1-EXP(-LN(2)/2))/(LN(2)/2)*DW112*DZ112*VLOOKUP('Données projet'!$B$14,Paramètres!$A$1:$I$89,3,0)*0.475*44/12</f>
        <v>2.5005537044177224E-6</v>
      </c>
      <c r="ED112" s="22">
        <f t="shared" si="72"/>
        <v>27.787172250046368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2.2737367544323206E-13</v>
      </c>
      <c r="EK112" s="17">
        <f>EJ112*VLOOKUP('Données projet'!$B$15,Paramètres!$A$1:$I$89,3,0)*VLOOKUP('Données projet'!$B$15,Paramètres!$A$1:$I$89,5,0)</f>
        <v>1.2710188457276673E-13</v>
      </c>
      <c r="EL112" s="13">
        <f t="shared" si="99"/>
        <v>1.856866851063998E-12</v>
      </c>
      <c r="EM112" s="20">
        <f t="shared" si="73"/>
        <v>3.4554122145673649E-12</v>
      </c>
      <c r="EN112" s="59">
        <f t="shared" si="74"/>
        <v>293.33333333333678</v>
      </c>
      <c r="EO112" s="59">
        <f ca="1">AVERAGE(OFFSET($EN$3,0,0,'Données projet'!$E$15+1,1))-AVERAGE(OFFSET($H$3,0,0,'Données projet'!$E$15+1,1))</f>
        <v>313.36787814924116</v>
      </c>
      <c r="EP112" s="59">
        <f t="shared" si="100"/>
        <v>438.72984487610216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91.931595088921966</v>
      </c>
      <c r="EW112" s="21">
        <f>EXP(-LN(2)/25)*EW111+(1-EXP(-LN(2)/25))/(LN(2)/25)*Calculateur!ER112*Calculateur!ET112*VLOOKUP('Données projet'!$B$15,Paramètres!$A$1:$I$89,3,0)*0.475*44/12</f>
        <v>12.167304255915564</v>
      </c>
      <c r="EX112" s="21">
        <f>EXP(-LN(2)/2)*EX111+(1-EXP(-LN(2)/2))/(LN(2)/2)*ER112*EU112*VLOOKUP('Données projet'!$B$15,Paramètres!$A$1:$I$89,3,0)*0.475*44/12</f>
        <v>4.9955272647770763E-8</v>
      </c>
      <c r="EY112" s="22">
        <f t="shared" si="75"/>
        <v>104.09889939479281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219</v>
      </c>
      <c r="L113" s="12">
        <f>VLOOKUP(A113,'Données projet'!$A$35:$I$55,9,0)</f>
        <v>1.7</v>
      </c>
      <c r="M113" s="12">
        <f t="array" ref="M113">INDEX(L:L,MIN(IF(ISNUMBER(L113:L309),ROW(L113:L309),"")))</f>
        <v>1.7</v>
      </c>
      <c r="N113" s="13">
        <f>IF('Données projet'!$A$36&gt;35,N112+M113-V112,IF(A113&lt;'Données projet'!$A$36,$K$205^A113,IF(A113='Données projet'!$A$36,'Données projet'!$B$36,N112+M113-V112)))</f>
        <v>218.99999999999994</v>
      </c>
      <c r="O113" s="13">
        <f>N113*VLOOKUP('Données projet'!$B$9,Paramètres!$A$1:$I$89,3,0)*VLOOKUP('Données projet'!$B$9,Paramètres!$A$1:$I$89,5,0)</f>
        <v>198.15119999999993</v>
      </c>
      <c r="P113" s="13">
        <f t="shared" si="87"/>
        <v>49.337638092068957</v>
      </c>
      <c r="Q113" s="20">
        <f t="shared" si="107"/>
        <v>431.04305967701993</v>
      </c>
      <c r="R113" s="59">
        <f t="shared" si="55"/>
        <v>724.37639301035324</v>
      </c>
      <c r="S113" s="59">
        <f ca="1">AVERAGE(OFFSET($R$3,0,0,'Données projet'!$E$9+1,1))-AVERAGE(OFFSET($H$3,0,0,'Données projet'!$E$9+1,1))</f>
        <v>173.91998182168385</v>
      </c>
      <c r="T113" s="59">
        <f t="shared" si="88"/>
        <v>72.011647893875363</v>
      </c>
      <c r="U113" s="15">
        <f>IF(ISNA(VLOOKUP(A113,'Données projet'!$A$35:$I$55,3,0)),0,VLOOKUP(A113,'Données projet'!$A$35:$I$55,3,0))</f>
        <v>18</v>
      </c>
      <c r="V113" s="15">
        <f>IF(ISNA(VLOOKUP(A113,'Données projet'!$A$35:$I$55,4,0)),0,VLOOKUP(A113,'Données projet'!$A$35:$I$55,4,0))</f>
        <v>13</v>
      </c>
      <c r="W113" s="16">
        <f>IF(ISNA(VLOOKUP(A113,'Données projet'!$A$35:$I$55,5,0)),0%,VLOOKUP(A113,'Données projet'!$A$35:$I$55,5,0)*VLOOKUP('Données projet'!$B$9,Paramètres!$A$1:$I$89,7,0))</f>
        <v>0.30099999999999999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19.530294902838385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19.530294902838385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-2.8421709430404007E-14</v>
      </c>
      <c r="AJ113" s="13">
        <f>AI113*VLOOKUP('Données projet'!$B$10,Paramètres!$A$1:$I$89,3,0)*VLOOKUP('Données projet'!$B$10,Paramètres!$A$1:$I$89,5,0)</f>
        <v>-3.0593128030886874E-14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150.9416300233616</v>
      </c>
      <c r="AO113" s="59">
        <f t="shared" si="90"/>
        <v>92.286636088269972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54.553837811293931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54.553837811293931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-2.8421709430404007E-14</v>
      </c>
      <c r="BE113" s="13">
        <f>BD113*VLOOKUP('Données projet'!$B$11,Paramètres!$A$1:$I$89,3,0)*VLOOKUP('Données projet'!$B$11,Paramètres!$A$1:$I$89,5,0)</f>
        <v>-2.7489477361086758E-14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131.02416800340484</v>
      </c>
      <c r="BJ113" s="59">
        <f t="shared" si="92"/>
        <v>79.394119001888555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49.019390497104688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49.019390497104688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-2.8421709430404007E-14</v>
      </c>
      <c r="BZ113" s="13">
        <f>BY113*VLOOKUP('Données projet'!$B$12,Paramètres!$A$1:$I$89,3,0)*VLOOKUP('Données projet'!$B$12,Paramètres!$A$1:$I$89,5,0)</f>
        <v>-2.5715962692629544E-14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119.62076457560073</v>
      </c>
      <c r="CE113" s="59">
        <f t="shared" si="94"/>
        <v>72.011647893875363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45.856849174710824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45.856849174710824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-2.8421709430404007E-14</v>
      </c>
      <c r="CU113" s="17">
        <f>CT113*VLOOKUP('Données projet'!$B$13,Paramètres!$A$1:$I$89,3,0)*VLOOKUP('Données projet'!$B$13,Paramètres!$A$1:$I$89,5,0)</f>
        <v>-3.0593128030886874E-14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150.9416300233616</v>
      </c>
      <c r="CZ113" s="59">
        <f t="shared" si="96"/>
        <v>92.286636088269972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54.553837811293931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54.553837811293931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439.99999999999943</v>
      </c>
      <c r="DP113" s="17">
        <f>DO113*VLOOKUP('Données projet'!$B$14,Paramètres!$A$1:$I$89,3,0)*VLOOKUP('Données projet'!$B$14,Paramètres!$A$1:$I$89,5,0)</f>
        <v>263.11999999999966</v>
      </c>
      <c r="DQ113" s="13">
        <f t="shared" si="97"/>
        <v>63.386973458751953</v>
      </c>
      <c r="DR113" s="20">
        <f t="shared" si="70"/>
        <v>568.66631210732578</v>
      </c>
      <c r="DS113" s="59">
        <f t="shared" si="71"/>
        <v>861.99964544065915</v>
      </c>
      <c r="DT113" s="59">
        <f ca="1">AVERAGE(OFFSET($DS$3,0,0,'Données projet'!$E$14+1,1))-AVERAGE(OFFSET($H$3,0,0,'Données projet'!$E$14+1,1))</f>
        <v>249.22792522076639</v>
      </c>
      <c r="DU113" s="59">
        <f t="shared" si="98"/>
        <v>244.53725944480669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21.638725986703218</v>
      </c>
      <c r="EB113" s="21">
        <f>EXP(-LN(2)/25)*EB112+(1-EXP(-LN(2)/25))/(LN(2)/25)*Calculateur!DW113*Calculateur!DY113*VLOOKUP('Données projet'!$B$14,Paramètres!$A$1:$I$89,3,0)*0.475*44/12</f>
        <v>5.5593400935197188</v>
      </c>
      <c r="EC113" s="21">
        <f>EXP(-LN(2)/2)*EC112+(1-EXP(-LN(2)/2))/(LN(2)/2)*DW113*DZ113*VLOOKUP('Données projet'!$B$14,Paramètres!$A$1:$I$89,3,0)*0.475*44/12</f>
        <v>1.7681584811149133E-6</v>
      </c>
      <c r="ED113" s="22">
        <f t="shared" si="72"/>
        <v>27.198067848381417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2.2737367544323206E-13</v>
      </c>
      <c r="EK113" s="17">
        <f>EJ113*VLOOKUP('Données projet'!$B$15,Paramètres!$A$1:$I$89,3,0)*VLOOKUP('Données projet'!$B$15,Paramètres!$A$1:$I$89,5,0)</f>
        <v>1.2710188457276673E-13</v>
      </c>
      <c r="EL113" s="13">
        <f t="shared" si="99"/>
        <v>1.856866851063998E-12</v>
      </c>
      <c r="EM113" s="20">
        <f t="shared" si="73"/>
        <v>3.4554122145673649E-12</v>
      </c>
      <c r="EN113" s="59">
        <f t="shared" si="74"/>
        <v>293.33333333333678</v>
      </c>
      <c r="EO113" s="59">
        <f ca="1">AVERAGE(OFFSET($EN$3,0,0,'Données projet'!$E$15+1,1))-AVERAGE(OFFSET($H$3,0,0,'Données projet'!$E$15+1,1))</f>
        <v>313.36787814924116</v>
      </c>
      <c r="EP113" s="59">
        <f t="shared" si="100"/>
        <v>438.72984487610216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90.128872581964487</v>
      </c>
      <c r="EW113" s="21">
        <f>EXP(-LN(2)/25)*EW112+(1-EXP(-LN(2)/25))/(LN(2)/25)*Calculateur!ER113*Calculateur!ET113*VLOOKUP('Données projet'!$B$15,Paramètres!$A$1:$I$89,3,0)*0.475*44/12</f>
        <v>11.834588681186831</v>
      </c>
      <c r="EX113" s="21">
        <f>EXP(-LN(2)/2)*EX112+(1-EXP(-LN(2)/2))/(LN(2)/2)*ER113*EU113*VLOOKUP('Données projet'!$B$15,Paramètres!$A$1:$I$89,3,0)*0.475*44/12</f>
        <v>3.5323712045261563E-8</v>
      </c>
      <c r="EY113" s="22">
        <f t="shared" si="75"/>
        <v>101.96346129847502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1.5</v>
      </c>
      <c r="N114" s="13">
        <f>IF('Données projet'!$A$36&gt;35,N113+M114-V113,IF(A114&lt;'Données projet'!$A$36,$K$205^A114,IF(A114='Données projet'!$A$36,'Données projet'!$B$36,N113+M114-V113)))</f>
        <v>207.49999999999994</v>
      </c>
      <c r="O114" s="13">
        <f>N114*VLOOKUP('Données projet'!$B$9,Paramètres!$A$1:$I$89,3,0)*VLOOKUP('Données projet'!$B$9,Paramètres!$A$1:$I$89,5,0)</f>
        <v>187.74599999999992</v>
      </c>
      <c r="P114" s="13">
        <f t="shared" si="87"/>
        <v>47.041279862400145</v>
      </c>
      <c r="Q114" s="20">
        <f t="shared" si="107"/>
        <v>408.92117909368011</v>
      </c>
      <c r="R114" s="59">
        <f t="shared" si="55"/>
        <v>702.25451242701342</v>
      </c>
      <c r="S114" s="59">
        <f ca="1">AVERAGE(OFFSET($R$3,0,0,'Données projet'!$E$9+1,1))-AVERAGE(OFFSET($H$3,0,0,'Données projet'!$E$9+1,1))</f>
        <v>173.91998182168385</v>
      </c>
      <c r="T114" s="59">
        <f t="shared" si="88"/>
        <v>72.011647893875363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19.147317732097374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19.147317732097374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-2.8421709430404007E-14</v>
      </c>
      <c r="AJ114" s="13">
        <f>AI114*VLOOKUP('Données projet'!$B$10,Paramètres!$A$1:$I$89,3,0)*VLOOKUP('Données projet'!$B$10,Paramètres!$A$1:$I$89,5,0)</f>
        <v>-3.0593128030886874E-14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150.9416300233616</v>
      </c>
      <c r="AO114" s="59">
        <f t="shared" si="90"/>
        <v>92.286636088269972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53.484070326369931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53.484070326369931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-2.8421709430404007E-14</v>
      </c>
      <c r="BE114" s="13">
        <f>BD114*VLOOKUP('Données projet'!$B$11,Paramètres!$A$1:$I$89,3,0)*VLOOKUP('Données projet'!$B$11,Paramètres!$A$1:$I$89,5,0)</f>
        <v>-2.7489477361086758E-14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131.02416800340484</v>
      </c>
      <c r="BJ114" s="59">
        <f t="shared" si="92"/>
        <v>79.394119001888555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48.058150148332402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48.058150148332402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-2.8421709430404007E-14</v>
      </c>
      <c r="BZ114" s="13">
        <f>BY114*VLOOKUP('Données projet'!$B$12,Paramètres!$A$1:$I$89,3,0)*VLOOKUP('Données projet'!$B$12,Paramètres!$A$1:$I$89,5,0)</f>
        <v>-2.5715962692629544E-14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119.62076457560073</v>
      </c>
      <c r="CE114" s="59">
        <f t="shared" si="94"/>
        <v>72.011647893875363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44.957624332310942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44.957624332310942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-2.8421709430404007E-14</v>
      </c>
      <c r="CU114" s="17">
        <f>CT114*VLOOKUP('Données projet'!$B$13,Paramètres!$A$1:$I$89,3,0)*VLOOKUP('Données projet'!$B$13,Paramètres!$A$1:$I$89,5,0)</f>
        <v>-3.0593128030886874E-14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150.9416300233616</v>
      </c>
      <c r="CZ114" s="59">
        <f t="shared" si="96"/>
        <v>92.286636088269972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53.484070326369931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53.484070326369931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439.99999999999943</v>
      </c>
      <c r="DP114" s="17">
        <f>DO114*VLOOKUP('Données projet'!$B$14,Paramètres!$A$1:$I$89,3,0)*VLOOKUP('Données projet'!$B$14,Paramètres!$A$1:$I$89,5,0)</f>
        <v>263.11999999999966</v>
      </c>
      <c r="DQ114" s="13">
        <f t="shared" si="97"/>
        <v>63.386973458751953</v>
      </c>
      <c r="DR114" s="20">
        <f t="shared" si="70"/>
        <v>568.66631210732578</v>
      </c>
      <c r="DS114" s="59">
        <f t="shared" si="71"/>
        <v>861.99964544065915</v>
      </c>
      <c r="DT114" s="59">
        <f ca="1">AVERAGE(OFFSET($DS$3,0,0,'Données projet'!$E$14+1,1))-AVERAGE(OFFSET($H$3,0,0,'Données projet'!$E$14+1,1))</f>
        <v>249.22792522076639</v>
      </c>
      <c r="DU114" s="59">
        <f t="shared" si="98"/>
        <v>244.53725944480669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21.214403768423594</v>
      </c>
      <c r="EB114" s="21">
        <f>EXP(-LN(2)/25)*EB113+(1-EXP(-LN(2)/25))/(LN(2)/25)*Calculateur!DW114*Calculateur!DY114*VLOOKUP('Données projet'!$B$14,Paramètres!$A$1:$I$89,3,0)*0.475*44/12</f>
        <v>5.4073196463094328</v>
      </c>
      <c r="EC114" s="21">
        <f>EXP(-LN(2)/2)*EC113+(1-EXP(-LN(2)/2))/(LN(2)/2)*DW114*DZ114*VLOOKUP('Données projet'!$B$14,Paramètres!$A$1:$I$89,3,0)*0.475*44/12</f>
        <v>1.2502768522088612E-6</v>
      </c>
      <c r="ED114" s="22">
        <f t="shared" si="72"/>
        <v>26.621724665009879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2.2737367544323206E-13</v>
      </c>
      <c r="EK114" s="17">
        <f>EJ114*VLOOKUP('Données projet'!$B$15,Paramètres!$A$1:$I$89,3,0)*VLOOKUP('Données projet'!$B$15,Paramètres!$A$1:$I$89,5,0)</f>
        <v>1.2710188457276673E-13</v>
      </c>
      <c r="EL114" s="13">
        <f t="shared" si="99"/>
        <v>1.856866851063998E-12</v>
      </c>
      <c r="EM114" s="20">
        <f t="shared" si="73"/>
        <v>3.4554122145673649E-12</v>
      </c>
      <c r="EN114" s="59">
        <f t="shared" si="74"/>
        <v>293.33333333333678</v>
      </c>
      <c r="EO114" s="59">
        <f ca="1">AVERAGE(OFFSET($EN$3,0,0,'Données projet'!$E$15+1,1))-AVERAGE(OFFSET($H$3,0,0,'Données projet'!$E$15+1,1))</f>
        <v>313.36787814924116</v>
      </c>
      <c r="EP114" s="59">
        <f t="shared" si="100"/>
        <v>438.72984487610216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88.36150036381629</v>
      </c>
      <c r="EW114" s="21">
        <f>EXP(-LN(2)/25)*EW113+(1-EXP(-LN(2)/25))/(LN(2)/25)*Calculateur!ER114*Calculateur!ET114*VLOOKUP('Données projet'!$B$15,Paramètres!$A$1:$I$89,3,0)*0.475*44/12</f>
        <v>11.510971231345808</v>
      </c>
      <c r="EX114" s="21">
        <f>EXP(-LN(2)/2)*EX113+(1-EXP(-LN(2)/2))/(LN(2)/2)*ER114*EU114*VLOOKUP('Données projet'!$B$15,Paramètres!$A$1:$I$89,3,0)*0.475*44/12</f>
        <v>2.4977636323885381E-8</v>
      </c>
      <c r="EY114" s="22">
        <f t="shared" si="75"/>
        <v>99.872471620139734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1.5</v>
      </c>
      <c r="N115" s="13">
        <f>IF('Données projet'!$A$36&gt;35,N114+M115-V114,IF(A115&lt;'Données projet'!$A$36,$K$205^A115,IF(A115='Données projet'!$A$36,'Données projet'!$B$36,N114+M115-V114)))</f>
        <v>208.99999999999994</v>
      </c>
      <c r="O115" s="13">
        <f>N115*VLOOKUP('Données projet'!$B$9,Paramètres!$A$1:$I$89,3,0)*VLOOKUP('Données projet'!$B$9,Paramètres!$A$1:$I$89,5,0)</f>
        <v>189.10319999999993</v>
      </c>
      <c r="P115" s="13">
        <f t="shared" si="87"/>
        <v>47.34162854278712</v>
      </c>
      <c r="Q115" s="20">
        <f t="shared" si="107"/>
        <v>411.80807637868742</v>
      </c>
      <c r="R115" s="59">
        <f t="shared" si="55"/>
        <v>705.14140971202073</v>
      </c>
      <c r="S115" s="59">
        <f ca="1">AVERAGE(OFFSET($R$3,0,0,'Données projet'!$E$9+1,1))-AVERAGE(OFFSET($H$3,0,0,'Données projet'!$E$9+1,1))</f>
        <v>173.91998182168385</v>
      </c>
      <c r="T115" s="59">
        <f t="shared" si="88"/>
        <v>72.011647893875363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18.771850510081585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18.771850510081585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-2.8421709430404007E-14</v>
      </c>
      <c r="AJ115" s="13">
        <f>AI115*VLOOKUP('Données projet'!$B$10,Paramètres!$A$1:$I$89,3,0)*VLOOKUP('Données projet'!$B$10,Paramètres!$A$1:$I$89,5,0)</f>
        <v>-3.0593128030886874E-14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150.9416300233616</v>
      </c>
      <c r="AO115" s="59">
        <f t="shared" si="90"/>
        <v>92.286636088269972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52.435280329331555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52.435280329331555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-2.8421709430404007E-14</v>
      </c>
      <c r="BE115" s="13">
        <f>BD115*VLOOKUP('Données projet'!$B$11,Paramètres!$A$1:$I$89,3,0)*VLOOKUP('Données projet'!$B$11,Paramètres!$A$1:$I$89,5,0)</f>
        <v>-2.7489477361086758E-14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131.02416800340484</v>
      </c>
      <c r="BJ115" s="59">
        <f t="shared" si="92"/>
        <v>79.394119001888555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47.11575913650082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47.11575913650082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-2.8421709430404007E-14</v>
      </c>
      <c r="BZ115" s="13">
        <f>BY115*VLOOKUP('Données projet'!$B$12,Paramètres!$A$1:$I$89,3,0)*VLOOKUP('Données projet'!$B$12,Paramètres!$A$1:$I$89,5,0)</f>
        <v>-2.5715962692629544E-14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119.62076457560073</v>
      </c>
      <c r="CE115" s="59">
        <f t="shared" si="94"/>
        <v>72.011647893875363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44.076032740597526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44.076032740597526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-2.8421709430404007E-14</v>
      </c>
      <c r="CU115" s="17">
        <f>CT115*VLOOKUP('Données projet'!$B$13,Paramètres!$A$1:$I$89,3,0)*VLOOKUP('Données projet'!$B$13,Paramètres!$A$1:$I$89,5,0)</f>
        <v>-3.0593128030886874E-14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150.9416300233616</v>
      </c>
      <c r="CZ115" s="59">
        <f t="shared" si="96"/>
        <v>92.286636088269972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52.435280329331555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52.435280329331555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439.99999999999943</v>
      </c>
      <c r="DP115" s="17">
        <f>DO115*VLOOKUP('Données projet'!$B$14,Paramètres!$A$1:$I$89,3,0)*VLOOKUP('Données projet'!$B$14,Paramètres!$A$1:$I$89,5,0)</f>
        <v>263.11999999999966</v>
      </c>
      <c r="DQ115" s="13">
        <f t="shared" si="97"/>
        <v>63.386973458751953</v>
      </c>
      <c r="DR115" s="20">
        <f t="shared" si="70"/>
        <v>568.66631210732578</v>
      </c>
      <c r="DS115" s="59">
        <f t="shared" si="71"/>
        <v>861.99964544065915</v>
      </c>
      <c r="DT115" s="59">
        <f ca="1">AVERAGE(OFFSET($DS$3,0,0,'Données projet'!$E$14+1,1))-AVERAGE(OFFSET($H$3,0,0,'Données projet'!$E$14+1,1))</f>
        <v>249.22792522076639</v>
      </c>
      <c r="DU115" s="59">
        <f t="shared" si="98"/>
        <v>244.53725944480669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20.798402250033437</v>
      </c>
      <c r="EB115" s="21">
        <f>EXP(-LN(2)/25)*EB114+(1-EXP(-LN(2)/25))/(LN(2)/25)*Calculateur!DW115*Calculateur!DY115*VLOOKUP('Données projet'!$B$14,Paramètres!$A$1:$I$89,3,0)*0.475*44/12</f>
        <v>5.2594562062225201</v>
      </c>
      <c r="EC115" s="21">
        <f>EXP(-LN(2)/2)*EC114+(1-EXP(-LN(2)/2))/(LN(2)/2)*DW115*DZ115*VLOOKUP('Données projet'!$B$14,Paramètres!$A$1:$I$89,3,0)*0.475*44/12</f>
        <v>8.8407924055745664E-7</v>
      </c>
      <c r="ED115" s="22">
        <f t="shared" si="72"/>
        <v>26.057859340335199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2.2737367544323206E-13</v>
      </c>
      <c r="EK115" s="17">
        <f>EJ115*VLOOKUP('Données projet'!$B$15,Paramètres!$A$1:$I$89,3,0)*VLOOKUP('Données projet'!$B$15,Paramètres!$A$1:$I$89,5,0)</f>
        <v>1.2710188457276673E-13</v>
      </c>
      <c r="EL115" s="13">
        <f t="shared" si="99"/>
        <v>1.856866851063998E-12</v>
      </c>
      <c r="EM115" s="20">
        <f t="shared" si="73"/>
        <v>3.4554122145673649E-12</v>
      </c>
      <c r="EN115" s="59">
        <f t="shared" si="74"/>
        <v>293.33333333333678</v>
      </c>
      <c r="EO115" s="59">
        <f ca="1">AVERAGE(OFFSET($EN$3,0,0,'Données projet'!$E$15+1,1))-AVERAGE(OFFSET($H$3,0,0,'Données projet'!$E$15+1,1))</f>
        <v>313.36787814924116</v>
      </c>
      <c r="EP115" s="59">
        <f t="shared" si="100"/>
        <v>438.72984487610216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86.628785236875373</v>
      </c>
      <c r="EW115" s="21">
        <f>EXP(-LN(2)/25)*EW114+(1-EXP(-LN(2)/25))/(LN(2)/25)*Calculateur!ER115*Calculateur!ET115*VLOOKUP('Données projet'!$B$15,Paramètres!$A$1:$I$89,3,0)*0.475*44/12</f>
        <v>11.196203117688988</v>
      </c>
      <c r="EX115" s="21">
        <f>EXP(-LN(2)/2)*EX114+(1-EXP(-LN(2)/2))/(LN(2)/2)*ER115*EU115*VLOOKUP('Données projet'!$B$15,Paramètres!$A$1:$I$89,3,0)*0.475*44/12</f>
        <v>1.7661856022630781E-8</v>
      </c>
      <c r="EY115" s="22">
        <f t="shared" si="75"/>
        <v>97.82498837222623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1.5</v>
      </c>
      <c r="N116" s="13">
        <f>IF('Données projet'!$A$36&gt;35,N115+M116-V115,IF(A116&lt;'Données projet'!$A$36,$K$205^A116,IF(A116='Données projet'!$A$36,'Données projet'!$B$36,N115+M116-V115)))</f>
        <v>210.49999999999994</v>
      </c>
      <c r="O116" s="13">
        <f>N116*VLOOKUP('Données projet'!$B$9,Paramètres!$A$1:$I$89,3,0)*VLOOKUP('Données projet'!$B$9,Paramètres!$A$1:$I$89,5,0)</f>
        <v>190.46039999999994</v>
      </c>
      <c r="P116" s="13">
        <f t="shared" si="87"/>
        <v>47.641726412375149</v>
      </c>
      <c r="Q116" s="20">
        <f t="shared" si="107"/>
        <v>414.69453683488655</v>
      </c>
      <c r="R116" s="59">
        <f t="shared" si="55"/>
        <v>708.02787016821981</v>
      </c>
      <c r="S116" s="59">
        <f ca="1">AVERAGE(OFFSET($R$3,0,0,'Données projet'!$E$9+1,1))-AVERAGE(OFFSET($H$3,0,0,'Données projet'!$E$9+1,1))</f>
        <v>173.91998182168385</v>
      </c>
      <c r="T116" s="59">
        <f t="shared" si="88"/>
        <v>72.011647893875363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18.403745971277132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18.403745971277132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-2.8421709430404007E-14</v>
      </c>
      <c r="AJ116" s="13">
        <f>AI116*VLOOKUP('Données projet'!$B$10,Paramètres!$A$1:$I$89,3,0)*VLOOKUP('Données projet'!$B$10,Paramètres!$A$1:$I$89,5,0)</f>
        <v>-3.0593128030886874E-14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150.9416300233616</v>
      </c>
      <c r="AO116" s="59">
        <f t="shared" si="90"/>
        <v>92.286636088269972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51.407056464436366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51.407056464436366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-2.8421709430404007E-14</v>
      </c>
      <c r="BE116" s="13">
        <f>BD116*VLOOKUP('Données projet'!$B$11,Paramètres!$A$1:$I$89,3,0)*VLOOKUP('Données projet'!$B$11,Paramètres!$A$1:$I$89,5,0)</f>
        <v>-2.7489477361086758E-14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131.02416800340484</v>
      </c>
      <c r="BJ116" s="59">
        <f t="shared" si="92"/>
        <v>79.394119001888555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46.191847837609494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46.191847837609494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-2.8421709430404007E-14</v>
      </c>
      <c r="BZ116" s="13">
        <f>BY116*VLOOKUP('Données projet'!$B$12,Paramètres!$A$1:$I$89,3,0)*VLOOKUP('Données projet'!$B$12,Paramètres!$A$1:$I$89,5,0)</f>
        <v>-2.5715962692629544E-14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119.62076457560073</v>
      </c>
      <c r="CE116" s="59">
        <f t="shared" si="94"/>
        <v>72.011647893875363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43.211728622279836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43.211728622279836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-2.8421709430404007E-14</v>
      </c>
      <c r="CU116" s="17">
        <f>CT116*VLOOKUP('Données projet'!$B$13,Paramètres!$A$1:$I$89,3,0)*VLOOKUP('Données projet'!$B$13,Paramètres!$A$1:$I$89,5,0)</f>
        <v>-3.0593128030886874E-14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150.9416300233616</v>
      </c>
      <c r="CZ116" s="59">
        <f t="shared" si="96"/>
        <v>92.286636088269972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51.407056464436366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51.407056464436366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439.99999999999943</v>
      </c>
      <c r="DP116" s="17">
        <f>DO116*VLOOKUP('Données projet'!$B$14,Paramètres!$A$1:$I$89,3,0)*VLOOKUP('Données projet'!$B$14,Paramètres!$A$1:$I$89,5,0)</f>
        <v>263.11999999999966</v>
      </c>
      <c r="DQ116" s="13">
        <f t="shared" si="97"/>
        <v>63.386973458751953</v>
      </c>
      <c r="DR116" s="20">
        <f t="shared" si="70"/>
        <v>568.66631210732578</v>
      </c>
      <c r="DS116" s="59">
        <f t="shared" si="71"/>
        <v>861.99964544065915</v>
      </c>
      <c r="DT116" s="59">
        <f ca="1">AVERAGE(OFFSET($DS$3,0,0,'Données projet'!$E$14+1,1))-AVERAGE(OFFSET($H$3,0,0,'Données projet'!$E$14+1,1))</f>
        <v>249.22792522076639</v>
      </c>
      <c r="DU116" s="59">
        <f t="shared" si="98"/>
        <v>244.53725944480669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20.390558267683037</v>
      </c>
      <c r="EB116" s="21">
        <f>EXP(-LN(2)/25)*EB115+(1-EXP(-LN(2)/25))/(LN(2)/25)*Calculateur!DW116*Calculateur!DY116*VLOOKUP('Données projet'!$B$14,Paramètres!$A$1:$I$89,3,0)*0.475*44/12</f>
        <v>5.1156360996805841</v>
      </c>
      <c r="EC116" s="21">
        <f>EXP(-LN(2)/2)*EC115+(1-EXP(-LN(2)/2))/(LN(2)/2)*DW116*DZ116*VLOOKUP('Données projet'!$B$14,Paramètres!$A$1:$I$89,3,0)*0.475*44/12</f>
        <v>6.2513842610443059E-7</v>
      </c>
      <c r="ED116" s="22">
        <f t="shared" si="72"/>
        <v>25.506194992502046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2.2737367544323206E-13</v>
      </c>
      <c r="EK116" s="17">
        <f>EJ116*VLOOKUP('Données projet'!$B$15,Paramètres!$A$1:$I$89,3,0)*VLOOKUP('Données projet'!$B$15,Paramètres!$A$1:$I$89,5,0)</f>
        <v>1.2710188457276673E-13</v>
      </c>
      <c r="EL116" s="13">
        <f t="shared" si="99"/>
        <v>1.856866851063998E-12</v>
      </c>
      <c r="EM116" s="20">
        <f t="shared" si="73"/>
        <v>3.4554122145673649E-12</v>
      </c>
      <c r="EN116" s="59">
        <f t="shared" si="74"/>
        <v>293.33333333333678</v>
      </c>
      <c r="EO116" s="59">
        <f ca="1">AVERAGE(OFFSET($EN$3,0,0,'Données projet'!$E$15+1,1))-AVERAGE(OFFSET($H$3,0,0,'Données projet'!$E$15+1,1))</f>
        <v>313.36787814924116</v>
      </c>
      <c r="EP116" s="59">
        <f t="shared" si="100"/>
        <v>438.72984487610216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84.930047596721892</v>
      </c>
      <c r="EW116" s="21">
        <f>EXP(-LN(2)/25)*EW115+(1-EXP(-LN(2)/25))/(LN(2)/25)*Calculateur!ER116*Calculateur!ET116*VLOOKUP('Données projet'!$B$15,Paramètres!$A$1:$I$89,3,0)*0.475*44/12</f>
        <v>10.890042354653049</v>
      </c>
      <c r="EX116" s="21">
        <f>EXP(-LN(2)/2)*EX115+(1-EXP(-LN(2)/2))/(LN(2)/2)*ER116*EU116*VLOOKUP('Données projet'!$B$15,Paramètres!$A$1:$I$89,3,0)*0.475*44/12</f>
        <v>1.2488818161942691E-8</v>
      </c>
      <c r="EY116" s="22">
        <f t="shared" si="75"/>
        <v>95.820089963863751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1.5</v>
      </c>
      <c r="N117" s="13">
        <f>IF('Données projet'!$A$36&gt;35,N116+M117-V116,IF(A117&lt;'Données projet'!$A$36,$K$205^A117,IF(A117='Données projet'!$A$36,'Données projet'!$B$36,N116+M117-V116)))</f>
        <v>211.99999999999994</v>
      </c>
      <c r="O117" s="13">
        <f>N117*VLOOKUP('Données projet'!$B$9,Paramètres!$A$1:$I$89,3,0)*VLOOKUP('Données projet'!$B$9,Paramètres!$A$1:$I$89,5,0)</f>
        <v>191.81759999999994</v>
      </c>
      <c r="P117" s="13">
        <f t="shared" si="87"/>
        <v>47.941575465657095</v>
      </c>
      <c r="Q117" s="20">
        <f t="shared" si="107"/>
        <v>417.58056393601936</v>
      </c>
      <c r="R117" s="59">
        <f t="shared" si="55"/>
        <v>710.91389726935267</v>
      </c>
      <c r="S117" s="59">
        <f ca="1">AVERAGE(OFFSET($R$3,0,0,'Données projet'!$E$9+1,1))-AVERAGE(OFFSET($H$3,0,0,'Données projet'!$E$9+1,1))</f>
        <v>173.91998182168385</v>
      </c>
      <c r="T117" s="59">
        <f t="shared" si="88"/>
        <v>72.011647893875363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18.042859737957038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18.042859737957038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-2.8421709430404007E-14</v>
      </c>
      <c r="AJ117" s="13">
        <f>AI117*VLOOKUP('Données projet'!$B$10,Paramètres!$A$1:$I$89,3,0)*VLOOKUP('Données projet'!$B$10,Paramètres!$A$1:$I$89,5,0)</f>
        <v>-3.0593128030886874E-14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150.9416300233616</v>
      </c>
      <c r="AO117" s="59">
        <f t="shared" si="90"/>
        <v>92.286636088269972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50.398995442377142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50.398995442377142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-2.8421709430404007E-14</v>
      </c>
      <c r="BE117" s="13">
        <f>BD117*VLOOKUP('Données projet'!$B$11,Paramètres!$A$1:$I$89,3,0)*VLOOKUP('Données projet'!$B$11,Paramètres!$A$1:$I$89,5,0)</f>
        <v>-2.7489477361086758E-14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131.02416800340484</v>
      </c>
      <c r="BJ117" s="59">
        <f t="shared" si="92"/>
        <v>79.394119001888555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45.28605387575918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45.28605387575918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-2.8421709430404007E-14</v>
      </c>
      <c r="BZ117" s="13">
        <f>BY117*VLOOKUP('Données projet'!$B$12,Paramètres!$A$1:$I$89,3,0)*VLOOKUP('Données projet'!$B$12,Paramètres!$A$1:$I$89,5,0)</f>
        <v>-2.5715962692629544E-14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119.62076457560073</v>
      </c>
      <c r="CE117" s="59">
        <f t="shared" si="94"/>
        <v>72.011647893875363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42.364372980548893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42.364372980548893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-2.8421709430404007E-14</v>
      </c>
      <c r="CU117" s="17">
        <f>CT117*VLOOKUP('Données projet'!$B$13,Paramètres!$A$1:$I$89,3,0)*VLOOKUP('Données projet'!$B$13,Paramètres!$A$1:$I$89,5,0)</f>
        <v>-3.0593128030886874E-14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150.9416300233616</v>
      </c>
      <c r="CZ117" s="59">
        <f t="shared" si="96"/>
        <v>92.286636088269972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50.398995442377142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50.398995442377142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439.99999999999943</v>
      </c>
      <c r="DP117" s="17">
        <f>DO117*VLOOKUP('Données projet'!$B$14,Paramètres!$A$1:$I$89,3,0)*VLOOKUP('Données projet'!$B$14,Paramètres!$A$1:$I$89,5,0)</f>
        <v>263.11999999999966</v>
      </c>
      <c r="DQ117" s="13">
        <f t="shared" si="97"/>
        <v>63.386973458751953</v>
      </c>
      <c r="DR117" s="20">
        <f t="shared" si="70"/>
        <v>568.66631210732578</v>
      </c>
      <c r="DS117" s="59">
        <f t="shared" si="71"/>
        <v>861.99964544065915</v>
      </c>
      <c r="DT117" s="59">
        <f ca="1">AVERAGE(OFFSET($DS$3,0,0,'Données projet'!$E$14+1,1))-AVERAGE(OFFSET($H$3,0,0,'Données projet'!$E$14+1,1))</f>
        <v>249.22792522076639</v>
      </c>
      <c r="DU117" s="59">
        <f t="shared" si="98"/>
        <v>244.53725944480669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19.990711857066263</v>
      </c>
      <c r="EB117" s="21">
        <f>EXP(-LN(2)/25)*EB116+(1-EXP(-LN(2)/25))/(LN(2)/25)*Calculateur!DW117*Calculateur!DY117*VLOOKUP('Données projet'!$B$14,Paramètres!$A$1:$I$89,3,0)*0.475*44/12</f>
        <v>4.9757487615152076</v>
      </c>
      <c r="EC117" s="21">
        <f>EXP(-LN(2)/2)*EC116+(1-EXP(-LN(2)/2))/(LN(2)/2)*DW117*DZ117*VLOOKUP('Données projet'!$B$14,Paramètres!$A$1:$I$89,3,0)*0.475*44/12</f>
        <v>4.4203962027872832E-7</v>
      </c>
      <c r="ED117" s="22">
        <f t="shared" si="72"/>
        <v>24.966461060621093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2.2737367544323206E-13</v>
      </c>
      <c r="EK117" s="17">
        <f>EJ117*VLOOKUP('Données projet'!$B$15,Paramètres!$A$1:$I$89,3,0)*VLOOKUP('Données projet'!$B$15,Paramètres!$A$1:$I$89,5,0)</f>
        <v>1.2710188457276673E-13</v>
      </c>
      <c r="EL117" s="13">
        <f t="shared" si="99"/>
        <v>1.856866851063998E-12</v>
      </c>
      <c r="EM117" s="20">
        <f t="shared" si="73"/>
        <v>3.4554122145673649E-12</v>
      </c>
      <c r="EN117" s="59">
        <f t="shared" si="74"/>
        <v>293.33333333333678</v>
      </c>
      <c r="EO117" s="59">
        <f ca="1">AVERAGE(OFFSET($EN$3,0,0,'Données projet'!$E$15+1,1))-AVERAGE(OFFSET($H$3,0,0,'Données projet'!$E$15+1,1))</f>
        <v>313.36787814924116</v>
      </c>
      <c r="EP117" s="59">
        <f t="shared" si="100"/>
        <v>438.72984487610216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83.264621165564165</v>
      </c>
      <c r="EW117" s="21">
        <f>EXP(-LN(2)/25)*EW116+(1-EXP(-LN(2)/25))/(LN(2)/25)*Calculateur!ER117*Calculateur!ET117*VLOOKUP('Données projet'!$B$15,Paramètres!$A$1:$I$89,3,0)*0.475*44/12</f>
        <v>10.592253573782624</v>
      </c>
      <c r="EX117" s="21">
        <f>EXP(-LN(2)/2)*EX116+(1-EXP(-LN(2)/2))/(LN(2)/2)*ER117*EU117*VLOOKUP('Données projet'!$B$15,Paramètres!$A$1:$I$89,3,0)*0.475*44/12</f>
        <v>8.8309280113153907E-9</v>
      </c>
      <c r="EY117" s="22">
        <f t="shared" si="75"/>
        <v>93.856874748177717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1.5</v>
      </c>
      <c r="N118" s="13">
        <f>IF('Données projet'!$A$36&gt;35,N117+M118-V117,IF(A118&lt;'Données projet'!$A$36,$K$205^A118,IF(A118='Données projet'!$A$36,'Données projet'!$B$36,N117+M118-V117)))</f>
        <v>213.49999999999994</v>
      </c>
      <c r="O118" s="13">
        <f>N118*VLOOKUP('Données projet'!$B$9,Paramètres!$A$1:$I$89,3,0)*VLOOKUP('Données projet'!$B$9,Paramètres!$A$1:$I$89,5,0)</f>
        <v>193.17479999999995</v>
      </c>
      <c r="P118" s="13">
        <f t="shared" si="87"/>
        <v>48.241177667270811</v>
      </c>
      <c r="Q118" s="20">
        <f t="shared" si="107"/>
        <v>420.46616110382985</v>
      </c>
      <c r="R118" s="59">
        <f t="shared" si="55"/>
        <v>713.79949443716316</v>
      </c>
      <c r="S118" s="59">
        <f ca="1">AVERAGE(OFFSET($R$3,0,0,'Données projet'!$E$9+1,1))-AVERAGE(OFFSET($H$3,0,0,'Données projet'!$E$9+1,1))</f>
        <v>173.91998182168385</v>
      </c>
      <c r="T118" s="59">
        <f t="shared" si="88"/>
        <v>72.011647893875363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17.689050263553479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17.689050263553479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-2.8421709430404007E-14</v>
      </c>
      <c r="AJ118" s="13">
        <f>AI118*VLOOKUP('Données projet'!$B$10,Paramètres!$A$1:$I$89,3,0)*VLOOKUP('Données projet'!$B$10,Paramètres!$A$1:$I$89,5,0)</f>
        <v>-3.0593128030886874E-14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150.9416300233616</v>
      </c>
      <c r="AO118" s="59">
        <f t="shared" si="90"/>
        <v>92.286636088269972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49.410701882103986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49.410701882103986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-2.8421709430404007E-14</v>
      </c>
      <c r="BE118" s="13">
        <f>BD118*VLOOKUP('Données projet'!$B$11,Paramètres!$A$1:$I$89,3,0)*VLOOKUP('Données projet'!$B$11,Paramètres!$A$1:$I$89,5,0)</f>
        <v>-2.7489477361086758E-14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131.02416800340484</v>
      </c>
      <c r="BJ118" s="59">
        <f t="shared" si="92"/>
        <v>79.394119001888555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44.398021981020982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44.398021981020982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-2.8421709430404007E-14</v>
      </c>
      <c r="BZ118" s="13">
        <f>BY118*VLOOKUP('Données projet'!$B$12,Paramètres!$A$1:$I$89,3,0)*VLOOKUP('Données projet'!$B$12,Paramètres!$A$1:$I$89,5,0)</f>
        <v>-2.5715962692629544E-14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119.62076457560073</v>
      </c>
      <c r="CE118" s="59">
        <f t="shared" si="94"/>
        <v>72.011647893875363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41.533633466116385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41.533633466116385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-2.8421709430404007E-14</v>
      </c>
      <c r="CU118" s="17">
        <f>CT118*VLOOKUP('Données projet'!$B$13,Paramètres!$A$1:$I$89,3,0)*VLOOKUP('Données projet'!$B$13,Paramètres!$A$1:$I$89,5,0)</f>
        <v>-3.0593128030886874E-14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150.9416300233616</v>
      </c>
      <c r="CZ118" s="59">
        <f t="shared" si="96"/>
        <v>92.286636088269972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49.410701882103986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49.410701882103986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439.99999999999943</v>
      </c>
      <c r="DP118" s="17">
        <f>DO118*VLOOKUP('Données projet'!$B$14,Paramètres!$A$1:$I$89,3,0)*VLOOKUP('Données projet'!$B$14,Paramètres!$A$1:$I$89,5,0)</f>
        <v>263.11999999999966</v>
      </c>
      <c r="DQ118" s="13">
        <f t="shared" si="97"/>
        <v>63.386973458751953</v>
      </c>
      <c r="DR118" s="20">
        <f t="shared" si="70"/>
        <v>568.66631210732578</v>
      </c>
      <c r="DS118" s="59">
        <f t="shared" si="71"/>
        <v>861.99964544065915</v>
      </c>
      <c r="DT118" s="59">
        <f ca="1">AVERAGE(OFFSET($DS$3,0,0,'Données projet'!$E$14+1,1))-AVERAGE(OFFSET($H$3,0,0,'Données projet'!$E$14+1,1))</f>
        <v>249.22792522076639</v>
      </c>
      <c r="DU118" s="59">
        <f t="shared" si="98"/>
        <v>244.53725944480669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19.598706190679454</v>
      </c>
      <c r="EB118" s="21">
        <f>EXP(-LN(2)/25)*EB117+(1-EXP(-LN(2)/25))/(LN(2)/25)*Calculateur!DW118*Calculateur!DY118*VLOOKUP('Données projet'!$B$14,Paramètres!$A$1:$I$89,3,0)*0.475*44/12</f>
        <v>4.8396866499683195</v>
      </c>
      <c r="EC118" s="21">
        <f>EXP(-LN(2)/2)*EC117+(1-EXP(-LN(2)/2))/(LN(2)/2)*DW118*DZ118*VLOOKUP('Données projet'!$B$14,Paramètres!$A$1:$I$89,3,0)*0.475*44/12</f>
        <v>3.125692130522153E-7</v>
      </c>
      <c r="ED118" s="22">
        <f t="shared" si="72"/>
        <v>24.438393153216985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2.2737367544323206E-13</v>
      </c>
      <c r="EK118" s="17">
        <f>EJ118*VLOOKUP('Données projet'!$B$15,Paramètres!$A$1:$I$89,3,0)*VLOOKUP('Données projet'!$B$15,Paramètres!$A$1:$I$89,5,0)</f>
        <v>1.2710188457276673E-13</v>
      </c>
      <c r="EL118" s="13">
        <f t="shared" si="99"/>
        <v>1.856866851063998E-12</v>
      </c>
      <c r="EM118" s="20">
        <f t="shared" si="73"/>
        <v>3.4554122145673649E-12</v>
      </c>
      <c r="EN118" s="59">
        <f t="shared" si="74"/>
        <v>293.33333333333678</v>
      </c>
      <c r="EO118" s="59">
        <f ca="1">AVERAGE(OFFSET($EN$3,0,0,'Données projet'!$E$15+1,1))-AVERAGE(OFFSET($H$3,0,0,'Données projet'!$E$15+1,1))</f>
        <v>313.36787814924116</v>
      </c>
      <c r="EP118" s="59">
        <f t="shared" si="100"/>
        <v>438.72984487610216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81.631852730911618</v>
      </c>
      <c r="EW118" s="21">
        <f>EXP(-LN(2)/25)*EW117+(1-EXP(-LN(2)/25))/(LN(2)/25)*Calculateur!ER118*Calculateur!ET118*VLOOKUP('Données projet'!$B$15,Paramètres!$A$1:$I$89,3,0)*0.475*44/12</f>
        <v>10.302607842785132</v>
      </c>
      <c r="EX118" s="21">
        <f>EXP(-LN(2)/2)*EX117+(1-EXP(-LN(2)/2))/(LN(2)/2)*ER118*EU118*VLOOKUP('Données projet'!$B$15,Paramètres!$A$1:$I$89,3,0)*0.475*44/12</f>
        <v>6.2444090809713454E-9</v>
      </c>
      <c r="EY118" s="22">
        <f t="shared" si="75"/>
        <v>91.93446057994116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1.5</v>
      </c>
      <c r="N119" s="13">
        <f>IF('Données projet'!$A$36&gt;35,N118+M119-V118,IF(A119&lt;'Données projet'!$A$36,$K$205^A119,IF(A119='Données projet'!$A$36,'Données projet'!$B$36,N118+M119-V118)))</f>
        <v>214.99999999999994</v>
      </c>
      <c r="O119" s="13">
        <f>N119*VLOOKUP('Données projet'!$B$9,Paramètres!$A$1:$I$89,3,0)*VLOOKUP('Données projet'!$B$9,Paramètres!$A$1:$I$89,5,0)</f>
        <v>194.53199999999995</v>
      </c>
      <c r="P119" s="13">
        <f t="shared" si="87"/>
        <v>48.540534952652578</v>
      </c>
      <c r="Q119" s="20">
        <f t="shared" si="107"/>
        <v>423.35133170920312</v>
      </c>
      <c r="R119" s="59">
        <f t="shared" si="55"/>
        <v>716.68466504253638</v>
      </c>
      <c r="S119" s="59">
        <f ca="1">AVERAGE(OFFSET($R$3,0,0,'Données projet'!$E$9+1,1))-AVERAGE(OFFSET($H$3,0,0,'Données projet'!$E$9+1,1))</f>
        <v>173.91998182168385</v>
      </c>
      <c r="T119" s="59">
        <f t="shared" si="88"/>
        <v>72.011647893875363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17.342178777140507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17.342178777140507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-2.8421709430404007E-14</v>
      </c>
      <c r="AJ119" s="13">
        <f>AI119*VLOOKUP('Données projet'!$B$10,Paramètres!$A$1:$I$89,3,0)*VLOOKUP('Données projet'!$B$10,Paramètres!$A$1:$I$89,5,0)</f>
        <v>-3.0593128030886874E-14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150.9416300233616</v>
      </c>
      <c r="AO119" s="59">
        <f t="shared" si="90"/>
        <v>92.286636088269972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48.441788155748242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48.441788155748242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-2.8421709430404007E-14</v>
      </c>
      <c r="BE119" s="13">
        <f>BD119*VLOOKUP('Données projet'!$B$11,Paramètres!$A$1:$I$89,3,0)*VLOOKUP('Données projet'!$B$11,Paramètres!$A$1:$I$89,5,0)</f>
        <v>-2.7489477361086758E-14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131.02416800340484</v>
      </c>
      <c r="BJ119" s="59">
        <f t="shared" si="92"/>
        <v>79.394119001888555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43.527403850092632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43.527403850092632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-2.8421709430404007E-14</v>
      </c>
      <c r="BZ119" s="13">
        <f>BY119*VLOOKUP('Données projet'!$B$12,Paramètres!$A$1:$I$89,3,0)*VLOOKUP('Données projet'!$B$12,Paramètres!$A$1:$I$89,5,0)</f>
        <v>-2.5715962692629544E-14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119.62076457560073</v>
      </c>
      <c r="CE119" s="59">
        <f t="shared" si="94"/>
        <v>72.011647893875363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40.719184246860827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40.719184246860827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-2.8421709430404007E-14</v>
      </c>
      <c r="CU119" s="17">
        <f>CT119*VLOOKUP('Données projet'!$B$13,Paramètres!$A$1:$I$89,3,0)*VLOOKUP('Données projet'!$B$13,Paramètres!$A$1:$I$89,5,0)</f>
        <v>-3.0593128030886874E-14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150.9416300233616</v>
      </c>
      <c r="CZ119" s="59">
        <f t="shared" si="96"/>
        <v>92.286636088269972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48.441788155748242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48.441788155748242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439.99999999999943</v>
      </c>
      <c r="DP119" s="17">
        <f>DO119*VLOOKUP('Données projet'!$B$14,Paramètres!$A$1:$I$89,3,0)*VLOOKUP('Données projet'!$B$14,Paramètres!$A$1:$I$89,5,0)</f>
        <v>263.11999999999966</v>
      </c>
      <c r="DQ119" s="13">
        <f t="shared" si="97"/>
        <v>63.386973458751953</v>
      </c>
      <c r="DR119" s="20">
        <f t="shared" si="70"/>
        <v>568.66631210732578</v>
      </c>
      <c r="DS119" s="59">
        <f t="shared" si="71"/>
        <v>861.99964544065915</v>
      </c>
      <c r="DT119" s="59">
        <f ca="1">AVERAGE(OFFSET($DS$3,0,0,'Données projet'!$E$14+1,1))-AVERAGE(OFFSET($H$3,0,0,'Données projet'!$E$14+1,1))</f>
        <v>249.22792522076639</v>
      </c>
      <c r="DU119" s="59">
        <f t="shared" si="98"/>
        <v>244.53725944480669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19.214387516310644</v>
      </c>
      <c r="EB119" s="21">
        <f>EXP(-LN(2)/25)*EB118+(1-EXP(-LN(2)/25))/(LN(2)/25)*Calculateur!DW119*Calculateur!DY119*VLOOKUP('Données projet'!$B$14,Paramètres!$A$1:$I$89,3,0)*0.475*44/12</f>
        <v>4.7073451640168757</v>
      </c>
      <c r="EC119" s="21">
        <f>EXP(-LN(2)/2)*EC118+(1-EXP(-LN(2)/2))/(LN(2)/2)*DW119*DZ119*VLOOKUP('Données projet'!$B$14,Paramètres!$A$1:$I$89,3,0)*0.475*44/12</f>
        <v>2.2101981013936416E-7</v>
      </c>
      <c r="ED119" s="22">
        <f t="shared" si="72"/>
        <v>23.92173290134733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2.2737367544323206E-13</v>
      </c>
      <c r="EK119" s="17">
        <f>EJ119*VLOOKUP('Données projet'!$B$15,Paramètres!$A$1:$I$89,3,0)*VLOOKUP('Données projet'!$B$15,Paramètres!$A$1:$I$89,5,0)</f>
        <v>1.2710188457276673E-13</v>
      </c>
      <c r="EL119" s="13">
        <f t="shared" si="99"/>
        <v>1.856866851063998E-12</v>
      </c>
      <c r="EM119" s="20">
        <f t="shared" si="73"/>
        <v>3.4554122145673649E-12</v>
      </c>
      <c r="EN119" s="59">
        <f t="shared" si="74"/>
        <v>293.33333333333678</v>
      </c>
      <c r="EO119" s="59">
        <f ca="1">AVERAGE(OFFSET($EN$3,0,0,'Données projet'!$E$15+1,1))-AVERAGE(OFFSET($H$3,0,0,'Données projet'!$E$15+1,1))</f>
        <v>313.36787814924116</v>
      </c>
      <c r="EP119" s="59">
        <f t="shared" si="100"/>
        <v>438.72984487610216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80.031101889372195</v>
      </c>
      <c r="EW119" s="21">
        <f>EXP(-LN(2)/25)*EW118+(1-EXP(-LN(2)/25))/(LN(2)/25)*Calculateur!ER119*Calculateur!ET119*VLOOKUP('Données projet'!$B$15,Paramètres!$A$1:$I$89,3,0)*0.475*44/12</f>
        <v>10.020882489533573</v>
      </c>
      <c r="EX119" s="21">
        <f>EXP(-LN(2)/2)*EX118+(1-EXP(-LN(2)/2))/(LN(2)/2)*ER119*EU119*VLOOKUP('Données projet'!$B$15,Paramètres!$A$1:$I$89,3,0)*0.475*44/12</f>
        <v>4.4154640056576954E-9</v>
      </c>
      <c r="EY119" s="22">
        <f t="shared" si="75"/>
        <v>90.051984383321241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1.5</v>
      </c>
      <c r="N120" s="13">
        <f>IF('Données projet'!$A$36&gt;35,N119+M120-V119,IF(A120&lt;'Données projet'!$A$36,$K$205^A120,IF(A120='Données projet'!$A$36,'Données projet'!$B$36,N119+M120-V119)))</f>
        <v>216.49999999999994</v>
      </c>
      <c r="O120" s="13">
        <f>N120*VLOOKUP('Données projet'!$B$9,Paramètres!$A$1:$I$89,3,0)*VLOOKUP('Données projet'!$B$9,Paramètres!$A$1:$I$89,5,0)</f>
        <v>195.88919999999996</v>
      </c>
      <c r="P120" s="13">
        <f t="shared" si="87"/>
        <v>48.839649228671696</v>
      </c>
      <c r="Q120" s="20">
        <f t="shared" si="107"/>
        <v>426.23607907326982</v>
      </c>
      <c r="R120" s="59">
        <f t="shared" si="55"/>
        <v>719.56941240660308</v>
      </c>
      <c r="S120" s="59">
        <f ca="1">AVERAGE(OFFSET($R$3,0,0,'Données projet'!$E$9+1,1))-AVERAGE(OFFSET($H$3,0,0,'Données projet'!$E$9+1,1))</f>
        <v>173.91998182168385</v>
      </c>
      <c r="T120" s="59">
        <f t="shared" si="88"/>
        <v>72.011647893875363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17.002109229005377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17.002109229005377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-2.8421709430404007E-14</v>
      </c>
      <c r="AJ120" s="13">
        <f>AI120*VLOOKUP('Données projet'!$B$10,Paramètres!$A$1:$I$89,3,0)*VLOOKUP('Données projet'!$B$10,Paramètres!$A$1:$I$89,5,0)</f>
        <v>-3.0593128030886874E-14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150.9416300233616</v>
      </c>
      <c r="AO120" s="59">
        <f t="shared" si="90"/>
        <v>92.286636088269972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47.491874236587314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47.491874236587314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-2.8421709430404007E-14</v>
      </c>
      <c r="BE120" s="13">
        <f>BD120*VLOOKUP('Données projet'!$B$11,Paramètres!$A$1:$I$89,3,0)*VLOOKUP('Données projet'!$B$11,Paramètres!$A$1:$I$89,5,0)</f>
        <v>-2.7489477361086758E-14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131.02416800340484</v>
      </c>
      <c r="BJ120" s="59">
        <f t="shared" si="92"/>
        <v>79.394119001888555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42.673858009687159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42.673858009687159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-2.8421709430404007E-14</v>
      </c>
      <c r="BZ120" s="13">
        <f>BY120*VLOOKUP('Données projet'!$B$12,Paramètres!$A$1:$I$89,3,0)*VLOOKUP('Données projet'!$B$12,Paramètres!$A$1:$I$89,5,0)</f>
        <v>-2.5715962692629544E-14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119.62076457560073</v>
      </c>
      <c r="CE120" s="59">
        <f t="shared" si="94"/>
        <v>72.011647893875363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39.9207058800299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39.9207058800299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-2.8421709430404007E-14</v>
      </c>
      <c r="CU120" s="17">
        <f>CT120*VLOOKUP('Données projet'!$B$13,Paramètres!$A$1:$I$89,3,0)*VLOOKUP('Données projet'!$B$13,Paramètres!$A$1:$I$89,5,0)</f>
        <v>-3.0593128030886874E-14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150.9416300233616</v>
      </c>
      <c r="CZ120" s="59">
        <f t="shared" si="96"/>
        <v>92.286636088269972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47.491874236587314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47.491874236587314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439.99999999999943</v>
      </c>
      <c r="DP120" s="17">
        <f>DO120*VLOOKUP('Données projet'!$B$14,Paramètres!$A$1:$I$89,3,0)*VLOOKUP('Données projet'!$B$14,Paramètres!$A$1:$I$89,5,0)</f>
        <v>263.11999999999966</v>
      </c>
      <c r="DQ120" s="13">
        <f t="shared" si="97"/>
        <v>63.386973458751953</v>
      </c>
      <c r="DR120" s="20">
        <f t="shared" si="70"/>
        <v>568.66631210732578</v>
      </c>
      <c r="DS120" s="59">
        <f t="shared" si="71"/>
        <v>861.99964544065915</v>
      </c>
      <c r="DT120" s="59">
        <f ca="1">AVERAGE(OFFSET($DS$3,0,0,'Données projet'!$E$14+1,1))-AVERAGE(OFFSET($H$3,0,0,'Données projet'!$E$14+1,1))</f>
        <v>249.22792522076639</v>
      </c>
      <c r="DU120" s="59">
        <f t="shared" si="98"/>
        <v>244.53725944480669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18.837605096734961</v>
      </c>
      <c r="EB120" s="21">
        <f>EXP(-LN(2)/25)*EB119+(1-EXP(-LN(2)/25))/(LN(2)/25)*Calculateur!DW120*Calculateur!DY120*VLOOKUP('Données projet'!$B$14,Paramètres!$A$1:$I$89,3,0)*0.475*44/12</f>
        <v>4.5786225629583113</v>
      </c>
      <c r="EC120" s="21">
        <f>EXP(-LN(2)/2)*EC119+(1-EXP(-LN(2)/2))/(LN(2)/2)*DW120*DZ120*VLOOKUP('Données projet'!$B$14,Paramètres!$A$1:$I$89,3,0)*0.475*44/12</f>
        <v>1.5628460652610765E-7</v>
      </c>
      <c r="ED120" s="22">
        <f t="shared" si="72"/>
        <v>23.41622781597788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2.2737367544323206E-13</v>
      </c>
      <c r="EK120" s="17">
        <f>EJ120*VLOOKUP('Données projet'!$B$15,Paramètres!$A$1:$I$89,3,0)*VLOOKUP('Données projet'!$B$15,Paramètres!$A$1:$I$89,5,0)</f>
        <v>1.2710188457276673E-13</v>
      </c>
      <c r="EL120" s="13">
        <f t="shared" si="99"/>
        <v>1.856866851063998E-12</v>
      </c>
      <c r="EM120" s="20">
        <f t="shared" si="73"/>
        <v>3.4554122145673649E-12</v>
      </c>
      <c r="EN120" s="59">
        <f t="shared" si="74"/>
        <v>293.33333333333678</v>
      </c>
      <c r="EO120" s="59">
        <f ca="1">AVERAGE(OFFSET($EN$3,0,0,'Données projet'!$E$15+1,1))-AVERAGE(OFFSET($H$3,0,0,'Données projet'!$E$15+1,1))</f>
        <v>313.36787814924116</v>
      </c>
      <c r="EP120" s="59">
        <f t="shared" si="100"/>
        <v>438.72984487610216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78.461740795473759</v>
      </c>
      <c r="EW120" s="21">
        <f>EXP(-LN(2)/25)*EW119+(1-EXP(-LN(2)/25))/(LN(2)/25)*Calculateur!ER120*Calculateur!ET120*VLOOKUP('Données projet'!$B$15,Paramètres!$A$1:$I$89,3,0)*0.475*44/12</f>
        <v>9.7468609308819705</v>
      </c>
      <c r="EX120" s="21">
        <f>EXP(-LN(2)/2)*EX119+(1-EXP(-LN(2)/2))/(LN(2)/2)*ER120*EU120*VLOOKUP('Données projet'!$B$15,Paramètres!$A$1:$I$89,3,0)*0.475*44/12</f>
        <v>3.1222045404856727E-9</v>
      </c>
      <c r="EY120" s="22">
        <f t="shared" si="75"/>
        <v>88.208601729477934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1.5</v>
      </c>
      <c r="N121" s="13">
        <f>IF('Données projet'!$A$36&gt;35,N120+M121-V120,IF(A121&lt;'Données projet'!$A$36,$K$205^A121,IF(A121='Données projet'!$A$36,'Données projet'!$B$36,N120+M121-V120)))</f>
        <v>217.99999999999994</v>
      </c>
      <c r="O121" s="13">
        <f>N121*VLOOKUP('Données projet'!$B$9,Paramètres!$A$1:$I$89,3,0)*VLOOKUP('Données projet'!$B$9,Paramètres!$A$1:$I$89,5,0)</f>
        <v>197.24639999999994</v>
      </c>
      <c r="P121" s="13">
        <f t="shared" si="87"/>
        <v>49.138522374247202</v>
      </c>
      <c r="Q121" s="20">
        <f t="shared" si="107"/>
        <v>429.12040646848044</v>
      </c>
      <c r="R121" s="59">
        <f t="shared" si="55"/>
        <v>722.45373980181375</v>
      </c>
      <c r="S121" s="59">
        <f ca="1">AVERAGE(OFFSET($R$3,0,0,'Données projet'!$E$9+1,1))-AVERAGE(OFFSET($H$3,0,0,'Données projet'!$E$9+1,1))</f>
        <v>173.91998182168385</v>
      </c>
      <c r="T121" s="59">
        <f t="shared" si="88"/>
        <v>72.011647893875363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16.668708237287234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16.668708237287234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-2.8421709430404007E-14</v>
      </c>
      <c r="AJ121" s="13">
        <f>AI121*VLOOKUP('Données projet'!$B$10,Paramètres!$A$1:$I$89,3,0)*VLOOKUP('Données projet'!$B$10,Paramètres!$A$1:$I$89,5,0)</f>
        <v>-3.0593128030886874E-14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150.9416300233616</v>
      </c>
      <c r="AO121" s="59">
        <f t="shared" si="90"/>
        <v>92.286636088269972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46.560587549990849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46.560587549990849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-2.8421709430404007E-14</v>
      </c>
      <c r="BE121" s="13">
        <f>BD121*VLOOKUP('Données projet'!$B$11,Paramètres!$A$1:$I$89,3,0)*VLOOKUP('Données projet'!$B$11,Paramètres!$A$1:$I$89,5,0)</f>
        <v>-2.7489477361086758E-14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131.02416800340484</v>
      </c>
      <c r="BJ121" s="59">
        <f t="shared" si="92"/>
        <v>79.394119001888555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41.83704968260048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41.83704968260048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-2.8421709430404007E-14</v>
      </c>
      <c r="BZ121" s="13">
        <f>BY121*VLOOKUP('Données projet'!$B$12,Paramètres!$A$1:$I$89,3,0)*VLOOKUP('Données projet'!$B$12,Paramètres!$A$1:$I$89,5,0)</f>
        <v>-2.5715962692629544E-14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119.62076457560073</v>
      </c>
      <c r="CE121" s="59">
        <f t="shared" si="94"/>
        <v>72.011647893875363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39.137885186948814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39.137885186948814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-2.8421709430404007E-14</v>
      </c>
      <c r="CU121" s="17">
        <f>CT121*VLOOKUP('Données projet'!$B$13,Paramètres!$A$1:$I$89,3,0)*VLOOKUP('Données projet'!$B$13,Paramètres!$A$1:$I$89,5,0)</f>
        <v>-3.0593128030886874E-14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150.9416300233616</v>
      </c>
      <c r="CZ121" s="59">
        <f t="shared" si="96"/>
        <v>92.286636088269972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46.560587549990849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46.560587549990849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439.99999999999943</v>
      </c>
      <c r="DP121" s="17">
        <f>DO121*VLOOKUP('Données projet'!$B$14,Paramètres!$A$1:$I$89,3,0)*VLOOKUP('Données projet'!$B$14,Paramètres!$A$1:$I$89,5,0)</f>
        <v>263.11999999999966</v>
      </c>
      <c r="DQ121" s="13">
        <f t="shared" si="97"/>
        <v>63.386973458751953</v>
      </c>
      <c r="DR121" s="20">
        <f t="shared" si="70"/>
        <v>568.66631210732578</v>
      </c>
      <c r="DS121" s="59">
        <f t="shared" si="71"/>
        <v>861.99964544065915</v>
      </c>
      <c r="DT121" s="59">
        <f ca="1">AVERAGE(OFFSET($DS$3,0,0,'Données projet'!$E$14+1,1))-AVERAGE(OFFSET($H$3,0,0,'Données projet'!$E$14+1,1))</f>
        <v>249.22792522076639</v>
      </c>
      <c r="DU121" s="59">
        <f t="shared" si="98"/>
        <v>244.53725944480669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18.468211150592573</v>
      </c>
      <c r="EB121" s="21">
        <f>EXP(-LN(2)/25)*EB120+(1-EXP(-LN(2)/25))/(LN(2)/25)*Calculateur!DW121*Calculateur!DY121*VLOOKUP('Données projet'!$B$14,Paramètres!$A$1:$I$89,3,0)*0.475*44/12</f>
        <v>4.4534198881949205</v>
      </c>
      <c r="EC121" s="21">
        <f>EXP(-LN(2)/2)*EC120+(1-EXP(-LN(2)/2))/(LN(2)/2)*DW121*DZ121*VLOOKUP('Données projet'!$B$14,Paramètres!$A$1:$I$89,3,0)*0.475*44/12</f>
        <v>1.1050990506968208E-7</v>
      </c>
      <c r="ED121" s="22">
        <f t="shared" si="72"/>
        <v>22.921631149297401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2.2737367544323206E-13</v>
      </c>
      <c r="EK121" s="17">
        <f>EJ121*VLOOKUP('Données projet'!$B$15,Paramètres!$A$1:$I$89,3,0)*VLOOKUP('Données projet'!$B$15,Paramètres!$A$1:$I$89,5,0)</f>
        <v>1.2710188457276673E-13</v>
      </c>
      <c r="EL121" s="13">
        <f t="shared" si="99"/>
        <v>1.856866851063998E-12</v>
      </c>
      <c r="EM121" s="20">
        <f t="shared" si="73"/>
        <v>3.4554122145673649E-12</v>
      </c>
      <c r="EN121" s="59">
        <f t="shared" si="74"/>
        <v>293.33333333333678</v>
      </c>
      <c r="EO121" s="59">
        <f ca="1">AVERAGE(OFFSET($EN$3,0,0,'Données projet'!$E$15+1,1))-AVERAGE(OFFSET($H$3,0,0,'Données projet'!$E$15+1,1))</f>
        <v>313.36787814924116</v>
      </c>
      <c r="EP121" s="59">
        <f t="shared" si="100"/>
        <v>438.72984487610216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76.923153915410921</v>
      </c>
      <c r="EW121" s="21">
        <f>EXP(-LN(2)/25)*EW120+(1-EXP(-LN(2)/25))/(LN(2)/25)*Calculateur!ER121*Calculateur!ET121*VLOOKUP('Données projet'!$B$15,Paramètres!$A$1:$I$89,3,0)*0.475*44/12</f>
        <v>9.4803325061618633</v>
      </c>
      <c r="EX121" s="21">
        <f>EXP(-LN(2)/2)*EX120+(1-EXP(-LN(2)/2))/(LN(2)/2)*ER121*EU121*VLOOKUP('Données projet'!$B$15,Paramètres!$A$1:$I$89,3,0)*0.475*44/12</f>
        <v>2.2077320028288477E-9</v>
      </c>
      <c r="EY121" s="22">
        <f t="shared" si="75"/>
        <v>86.403486423780507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1.5</v>
      </c>
      <c r="N122" s="13">
        <f>IF('Données projet'!$A$36&gt;35,N121+M122-V121,IF(A122&lt;'Données projet'!$A$36,$K$205^A122,IF(A122='Données projet'!$A$36,'Données projet'!$B$36,N121+M122-V121)))</f>
        <v>219.49999999999994</v>
      </c>
      <c r="O122" s="13">
        <f>N122*VLOOKUP('Données projet'!$B$9,Paramètres!$A$1:$I$89,3,0)*VLOOKUP('Données projet'!$B$9,Paramètres!$A$1:$I$89,5,0)</f>
        <v>198.60359999999994</v>
      </c>
      <c r="P122" s="13">
        <f t="shared" si="87"/>
        <v>49.437156240946763</v>
      </c>
      <c r="Q122" s="20">
        <f t="shared" si="107"/>
        <v>432.00431711964876</v>
      </c>
      <c r="R122" s="59">
        <f t="shared" si="55"/>
        <v>725.33765045298207</v>
      </c>
      <c r="S122" s="59">
        <f ca="1">AVERAGE(OFFSET($R$3,0,0,'Données projet'!$E$9+1,1))-AVERAGE(OFFSET($H$3,0,0,'Données projet'!$E$9+1,1))</f>
        <v>173.91998182168385</v>
      </c>
      <c r="T122" s="59">
        <f t="shared" si="88"/>
        <v>72.011647893875363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16.341845035662157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16.341845035662157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-2.8421709430404007E-14</v>
      </c>
      <c r="AJ122" s="13">
        <f>AI122*VLOOKUP('Données projet'!$B$10,Paramètres!$A$1:$I$89,3,0)*VLOOKUP('Données projet'!$B$10,Paramètres!$A$1:$I$89,5,0)</f>
        <v>-3.0593128030886874E-14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150.9416300233616</v>
      </c>
      <c r="AO122" s="59">
        <f t="shared" si="90"/>
        <v>92.286636088269972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45.647562827289754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45.647562827289754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-2.8421709430404007E-14</v>
      </c>
      <c r="BE122" s="13">
        <f>BD122*VLOOKUP('Données projet'!$B$11,Paramètres!$A$1:$I$89,3,0)*VLOOKUP('Données projet'!$B$11,Paramètres!$A$1:$I$89,5,0)</f>
        <v>-2.7489477361086758E-14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131.02416800340484</v>
      </c>
      <c r="BJ122" s="59">
        <f t="shared" si="92"/>
        <v>79.394119001888555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41.01665065640529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41.01665065640529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-2.8421709430404007E-14</v>
      </c>
      <c r="BZ122" s="13">
        <f>BY122*VLOOKUP('Données projet'!$B$12,Paramètres!$A$1:$I$89,3,0)*VLOOKUP('Données projet'!$B$12,Paramètres!$A$1:$I$89,5,0)</f>
        <v>-2.5715962692629544E-14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119.62076457560073</v>
      </c>
      <c r="CE122" s="59">
        <f t="shared" si="94"/>
        <v>72.011647893875363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38.37041513018557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38.37041513018557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-2.8421709430404007E-14</v>
      </c>
      <c r="CU122" s="17">
        <f>CT122*VLOOKUP('Données projet'!$B$13,Paramètres!$A$1:$I$89,3,0)*VLOOKUP('Données projet'!$B$13,Paramètres!$A$1:$I$89,5,0)</f>
        <v>-3.0593128030886874E-14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150.9416300233616</v>
      </c>
      <c r="CZ122" s="59">
        <f t="shared" si="96"/>
        <v>92.286636088269972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45.647562827289754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45.647562827289754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439.99999999999943</v>
      </c>
      <c r="DP122" s="17">
        <f>DO122*VLOOKUP('Données projet'!$B$14,Paramètres!$A$1:$I$89,3,0)*VLOOKUP('Données projet'!$B$14,Paramètres!$A$1:$I$89,5,0)</f>
        <v>263.11999999999966</v>
      </c>
      <c r="DQ122" s="13">
        <f t="shared" si="97"/>
        <v>63.386973458751953</v>
      </c>
      <c r="DR122" s="20">
        <f t="shared" si="70"/>
        <v>568.66631210732578</v>
      </c>
      <c r="DS122" s="59">
        <f t="shared" si="71"/>
        <v>861.99964544065915</v>
      </c>
      <c r="DT122" s="59">
        <f ca="1">AVERAGE(OFFSET($DS$3,0,0,'Données projet'!$E$14+1,1))-AVERAGE(OFFSET($H$3,0,0,'Données projet'!$E$14+1,1))</f>
        <v>249.22792522076639</v>
      </c>
      <c r="DU122" s="59">
        <f t="shared" si="98"/>
        <v>244.53725944480669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18.106060794425979</v>
      </c>
      <c r="EB122" s="21">
        <f>EXP(-LN(2)/25)*EB121+(1-EXP(-LN(2)/25))/(LN(2)/25)*Calculateur!DW122*Calculateur!DY122*VLOOKUP('Données projet'!$B$14,Paramètres!$A$1:$I$89,3,0)*0.475*44/12</f>
        <v>4.3316408871570573</v>
      </c>
      <c r="EC122" s="21">
        <f>EXP(-LN(2)/2)*EC121+(1-EXP(-LN(2)/2))/(LN(2)/2)*DW122*DZ122*VLOOKUP('Données projet'!$B$14,Paramètres!$A$1:$I$89,3,0)*0.475*44/12</f>
        <v>7.8142303263053824E-8</v>
      </c>
      <c r="ED122" s="22">
        <f t="shared" si="72"/>
        <v>22.437701759725339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2.2737367544323206E-13</v>
      </c>
      <c r="EK122" s="17">
        <f>EJ122*VLOOKUP('Données projet'!$B$15,Paramètres!$A$1:$I$89,3,0)*VLOOKUP('Données projet'!$B$15,Paramètres!$A$1:$I$89,5,0)</f>
        <v>1.2710188457276673E-13</v>
      </c>
      <c r="EL122" s="13">
        <f t="shared" si="99"/>
        <v>1.856866851063998E-12</v>
      </c>
      <c r="EM122" s="20">
        <f t="shared" si="73"/>
        <v>3.4554122145673649E-12</v>
      </c>
      <c r="EN122" s="59">
        <f t="shared" si="74"/>
        <v>293.33333333333678</v>
      </c>
      <c r="EO122" s="59">
        <f ca="1">AVERAGE(OFFSET($EN$3,0,0,'Données projet'!$E$15+1,1))-AVERAGE(OFFSET($H$3,0,0,'Données projet'!$E$15+1,1))</f>
        <v>313.36787814924116</v>
      </c>
      <c r="EP122" s="59">
        <f t="shared" si="100"/>
        <v>438.72984487610216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75.414737785620787</v>
      </c>
      <c r="EW122" s="21">
        <f>EXP(-LN(2)/25)*EW121+(1-EXP(-LN(2)/25))/(LN(2)/25)*Calculateur!ER122*Calculateur!ET122*VLOOKUP('Données projet'!$B$15,Paramètres!$A$1:$I$89,3,0)*0.475*44/12</f>
        <v>9.2210923152318482</v>
      </c>
      <c r="EX122" s="21">
        <f>EXP(-LN(2)/2)*EX121+(1-EXP(-LN(2)/2))/(LN(2)/2)*ER122*EU122*VLOOKUP('Données projet'!$B$15,Paramètres!$A$1:$I$89,3,0)*0.475*44/12</f>
        <v>1.5611022702428363E-9</v>
      </c>
      <c r="EY122" s="22">
        <f t="shared" si="75"/>
        <v>84.635830102413735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>
        <f>VLOOKUP(A123,'Données projet'!$A$35:$I$55,2,0)</f>
        <v>221</v>
      </c>
      <c r="L123" s="12">
        <f>VLOOKUP(A123,'Données projet'!$A$35:$I$55,9,0)</f>
        <v>1.5</v>
      </c>
      <c r="M123" s="12">
        <f t="array" ref="M123">INDEX(L:L,MIN(IF(ISNUMBER(L123:L319),ROW(L123:L319),"")))</f>
        <v>1.5</v>
      </c>
      <c r="N123" s="13">
        <f>IF('Données projet'!$A$36&gt;35,N122+M123-V122,IF(A123&lt;'Données projet'!$A$36,$K$205^A123,IF(A123='Données projet'!$A$36,'Données projet'!$B$36,N122+M123-V122)))</f>
        <v>220.99999999999994</v>
      </c>
      <c r="O123" s="13">
        <f>N123*VLOOKUP('Données projet'!$B$9,Paramètres!$A$1:$I$89,3,0)*VLOOKUP('Données projet'!$B$9,Paramètres!$A$1:$I$89,5,0)</f>
        <v>199.96079999999992</v>
      </c>
      <c r="P123" s="13">
        <f t="shared" si="87"/>
        <v>49.735552653569222</v>
      </c>
      <c r="Q123" s="20">
        <f t="shared" si="107"/>
        <v>434.88781420496622</v>
      </c>
      <c r="R123" s="59">
        <f t="shared" si="55"/>
        <v>728.22114753829953</v>
      </c>
      <c r="S123" s="59">
        <f ca="1">AVERAGE(OFFSET($R$3,0,0,'Données projet'!$E$9+1,1))-AVERAGE(OFFSET($H$3,0,0,'Données projet'!$E$9+1,1))</f>
        <v>173.91998182168385</v>
      </c>
      <c r="T123" s="59">
        <f t="shared" si="88"/>
        <v>72.011647893875363</v>
      </c>
      <c r="U123" s="15">
        <f>IF(ISNA(VLOOKUP(A123,'Données projet'!$A$35:$I$55,3,0)),0,VLOOKUP(A123,'Données projet'!$A$35:$I$55,3,0))</f>
        <v>20</v>
      </c>
      <c r="V123" s="15">
        <f>IF(ISNA(VLOOKUP(A123,'Données projet'!$A$35:$I$55,4,0)),0,VLOOKUP(A123,'Données projet'!$A$35:$I$55,4,0))</f>
        <v>221</v>
      </c>
      <c r="W123" s="16">
        <f>IF(ISNA(VLOOKUP(A123,'Données projet'!$A$35:$I$55,5,0)),0%,VLOOKUP(A123,'Données projet'!$A$35:$I$55,5,0)*VLOOKUP('Données projet'!$B$9,Paramètres!$A$1:$I$89,7,0))</f>
        <v>0.34400000000000003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92.062846486947123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92.062846486947123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-2.8421709430404007E-14</v>
      </c>
      <c r="AJ123" s="13">
        <f>AI123*VLOOKUP('Données projet'!$B$10,Paramètres!$A$1:$I$89,3,0)*VLOOKUP('Données projet'!$B$10,Paramètres!$A$1:$I$89,5,0)</f>
        <v>-3.0593128030886874E-14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150.9416300233616</v>
      </c>
      <c r="AO123" s="59">
        <f t="shared" si="90"/>
        <v>92.286636088269972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44.75244196251073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44.75244196251073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-2.8421709430404007E-14</v>
      </c>
      <c r="BE123" s="13">
        <f>BD123*VLOOKUP('Données projet'!$B$11,Paramètres!$A$1:$I$89,3,0)*VLOOKUP('Données projet'!$B$11,Paramètres!$A$1:$I$89,5,0)</f>
        <v>-2.7489477361086758E-14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131.02416800340484</v>
      </c>
      <c r="BJ123" s="59">
        <f t="shared" si="92"/>
        <v>79.394119001888555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40.212339154719793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40.212339154719793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-2.8421709430404007E-14</v>
      </c>
      <c r="BZ123" s="13">
        <f>BY123*VLOOKUP('Données projet'!$B$12,Paramètres!$A$1:$I$89,3,0)*VLOOKUP('Données projet'!$B$12,Paramètres!$A$1:$I$89,5,0)</f>
        <v>-2.5715962692629544E-14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119.62076457560073</v>
      </c>
      <c r="CE123" s="59">
        <f t="shared" si="94"/>
        <v>72.011647893875363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37.617994693124942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37.617994693124942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-2.8421709430404007E-14</v>
      </c>
      <c r="CU123" s="17">
        <f>CT123*VLOOKUP('Données projet'!$B$13,Paramètres!$A$1:$I$89,3,0)*VLOOKUP('Données projet'!$B$13,Paramètres!$A$1:$I$89,5,0)</f>
        <v>-3.0593128030886874E-14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150.9416300233616</v>
      </c>
      <c r="CZ123" s="59">
        <f t="shared" si="96"/>
        <v>92.286636088269972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44.75244196251073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44.75244196251073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439.99999999999943</v>
      </c>
      <c r="DP123" s="17">
        <f>DO123*VLOOKUP('Données projet'!$B$14,Paramètres!$A$1:$I$89,3,0)*VLOOKUP('Données projet'!$B$14,Paramètres!$A$1:$I$89,5,0)</f>
        <v>263.11999999999966</v>
      </c>
      <c r="DQ123" s="13">
        <f t="shared" si="97"/>
        <v>63.386973458751953</v>
      </c>
      <c r="DR123" s="20">
        <f t="shared" si="70"/>
        <v>568.66631210732578</v>
      </c>
      <c r="DS123" s="59">
        <f t="shared" si="71"/>
        <v>861.99964544065915</v>
      </c>
      <c r="DT123" s="59">
        <f ca="1">AVERAGE(OFFSET($DS$3,0,0,'Données projet'!$E$14+1,1))-AVERAGE(OFFSET($H$3,0,0,'Données projet'!$E$14+1,1))</f>
        <v>249.22792522076639</v>
      </c>
      <c r="DU123" s="59">
        <f t="shared" si="98"/>
        <v>244.53725944480669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17.751011985853903</v>
      </c>
      <c r="EB123" s="21">
        <f>EXP(-LN(2)/25)*EB122+(1-EXP(-LN(2)/25))/(LN(2)/25)*Calculateur!DW123*Calculateur!DY123*VLOOKUP('Données projet'!$B$14,Paramètres!$A$1:$I$89,3,0)*0.475*44/12</f>
        <v>4.213191939306653</v>
      </c>
      <c r="EC123" s="21">
        <f>EXP(-LN(2)/2)*EC122+(1-EXP(-LN(2)/2))/(LN(2)/2)*DW123*DZ123*VLOOKUP('Données projet'!$B$14,Paramètres!$A$1:$I$89,3,0)*0.475*44/12</f>
        <v>5.525495253484104E-8</v>
      </c>
      <c r="ED123" s="22">
        <f t="shared" si="72"/>
        <v>21.964203980415508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2.2737367544323206E-13</v>
      </c>
      <c r="EK123" s="17">
        <f>EJ123*VLOOKUP('Données projet'!$B$15,Paramètres!$A$1:$I$89,3,0)*VLOOKUP('Données projet'!$B$15,Paramètres!$A$1:$I$89,5,0)</f>
        <v>1.2710188457276673E-13</v>
      </c>
      <c r="EL123" s="13">
        <f t="shared" si="99"/>
        <v>1.856866851063998E-12</v>
      </c>
      <c r="EM123" s="20">
        <f t="shared" si="73"/>
        <v>3.4554122145673649E-12</v>
      </c>
      <c r="EN123" s="59">
        <f t="shared" si="74"/>
        <v>293.33333333333678</v>
      </c>
      <c r="EO123" s="59">
        <f ca="1">AVERAGE(OFFSET($EN$3,0,0,'Données projet'!$E$15+1,1))-AVERAGE(OFFSET($H$3,0,0,'Données projet'!$E$15+1,1))</f>
        <v>313.36787814924116</v>
      </c>
      <c r="EP123" s="59">
        <f t="shared" si="100"/>
        <v>438.72984487610216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73.935900776092836</v>
      </c>
      <c r="EW123" s="21">
        <f>EXP(-LN(2)/25)*EW122+(1-EXP(-LN(2)/25))/(LN(2)/25)*Calculateur!ER123*Calculateur!ET123*VLOOKUP('Données projet'!$B$15,Paramètres!$A$1:$I$89,3,0)*0.475*44/12</f>
        <v>8.9689410609556628</v>
      </c>
      <c r="EX123" s="21">
        <f>EXP(-LN(2)/2)*EX122+(1-EXP(-LN(2)/2))/(LN(2)/2)*ER123*EU123*VLOOKUP('Données projet'!$B$15,Paramètres!$A$1:$I$89,3,0)*0.475*44/12</f>
        <v>1.1038660014144238E-9</v>
      </c>
      <c r="EY123" s="22">
        <f t="shared" si="75"/>
        <v>82.904841838152365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-5.6843418860808015E-14</v>
      </c>
      <c r="O124" s="13">
        <f>N124*VLOOKUP('Données projet'!$B$9,Paramètres!$A$1:$I$89,3,0)*VLOOKUP('Données projet'!$B$9,Paramètres!$A$1:$I$89,5,0)</f>
        <v>-5.1431925385259088E-14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173.91998182168385</v>
      </c>
      <c r="T124" s="59">
        <f t="shared" si="88"/>
        <v>72.011647893875363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90.257550220129815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90.257550220129815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-2.8421709430404007E-14</v>
      </c>
      <c r="AJ124" s="13">
        <f>AI124*VLOOKUP('Données projet'!$B$10,Paramètres!$A$1:$I$89,3,0)*VLOOKUP('Données projet'!$B$10,Paramètres!$A$1:$I$89,5,0)</f>
        <v>-3.0593128030886874E-14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150.9416300233616</v>
      </c>
      <c r="AO124" s="59">
        <f t="shared" si="90"/>
        <v>92.286636088269972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43.874873871920208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43.874873871920208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-2.8421709430404007E-14</v>
      </c>
      <c r="BE124" s="13">
        <f>BD124*VLOOKUP('Données projet'!$B$11,Paramètres!$A$1:$I$89,3,0)*VLOOKUP('Données projet'!$B$11,Paramètres!$A$1:$I$89,5,0)</f>
        <v>-2.7489477361086758E-14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131.02416800340484</v>
      </c>
      <c r="BJ124" s="59">
        <f t="shared" si="92"/>
        <v>79.394119001888555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39.423799711000768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39.423799711000768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-2.8421709430404007E-14</v>
      </c>
      <c r="BZ124" s="13">
        <f>BY124*VLOOKUP('Données projet'!$B$12,Paramètres!$A$1:$I$89,3,0)*VLOOKUP('Données projet'!$B$12,Paramètres!$A$1:$I$89,5,0)</f>
        <v>-2.5715962692629544E-14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119.62076457560073</v>
      </c>
      <c r="CE124" s="59">
        <f t="shared" si="94"/>
        <v>72.011647893875363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36.880328761903925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36.880328761903925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-2.8421709430404007E-14</v>
      </c>
      <c r="CU124" s="17">
        <f>CT124*VLOOKUP('Données projet'!$B$13,Paramètres!$A$1:$I$89,3,0)*VLOOKUP('Données projet'!$B$13,Paramètres!$A$1:$I$89,5,0)</f>
        <v>-3.0593128030886874E-14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150.9416300233616</v>
      </c>
      <c r="CZ124" s="59">
        <f t="shared" si="96"/>
        <v>92.286636088269972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43.874873871920208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43.874873871920208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439.99999999999943</v>
      </c>
      <c r="DP124" s="17">
        <f>DO124*VLOOKUP('Données projet'!$B$14,Paramètres!$A$1:$I$89,3,0)*VLOOKUP('Données projet'!$B$14,Paramètres!$A$1:$I$89,5,0)</f>
        <v>263.11999999999966</v>
      </c>
      <c r="DQ124" s="13">
        <f t="shared" si="97"/>
        <v>63.386973458751953</v>
      </c>
      <c r="DR124" s="20">
        <f t="shared" si="70"/>
        <v>568.66631210732578</v>
      </c>
      <c r="DS124" s="59">
        <f t="shared" si="71"/>
        <v>861.99964544065915</v>
      </c>
      <c r="DT124" s="59">
        <f ca="1">AVERAGE(OFFSET($DS$3,0,0,'Données projet'!$E$14+1,1))-AVERAGE(OFFSET($H$3,0,0,'Données projet'!$E$14+1,1))</f>
        <v>249.22792522076639</v>
      </c>
      <c r="DU124" s="59">
        <f t="shared" si="98"/>
        <v>244.53725944480669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17.402925467859539</v>
      </c>
      <c r="EB124" s="21">
        <f>EXP(-LN(2)/25)*EB123+(1-EXP(-LN(2)/25))/(LN(2)/25)*Calculateur!DW124*Calculateur!DY124*VLOOKUP('Données projet'!$B$14,Paramètres!$A$1:$I$89,3,0)*0.475*44/12</f>
        <v>4.0979819841641776</v>
      </c>
      <c r="EC124" s="21">
        <f>EXP(-LN(2)/2)*EC123+(1-EXP(-LN(2)/2))/(LN(2)/2)*DW124*DZ124*VLOOKUP('Données projet'!$B$14,Paramètres!$A$1:$I$89,3,0)*0.475*44/12</f>
        <v>3.9071151631526912E-8</v>
      </c>
      <c r="ED124" s="22">
        <f t="shared" si="72"/>
        <v>21.500907491094868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2.2737367544323206E-13</v>
      </c>
      <c r="EK124" s="17">
        <f>EJ124*VLOOKUP('Données projet'!$B$15,Paramètres!$A$1:$I$89,3,0)*VLOOKUP('Données projet'!$B$15,Paramètres!$A$1:$I$89,5,0)</f>
        <v>1.2710188457276673E-13</v>
      </c>
      <c r="EL124" s="13">
        <f t="shared" si="99"/>
        <v>1.856866851063998E-12</v>
      </c>
      <c r="EM124" s="20">
        <f t="shared" si="73"/>
        <v>3.4554122145673649E-12</v>
      </c>
      <c r="EN124" s="59">
        <f t="shared" si="74"/>
        <v>293.33333333333678</v>
      </c>
      <c r="EO124" s="59">
        <f ca="1">AVERAGE(OFFSET($EN$3,0,0,'Données projet'!$E$15+1,1))-AVERAGE(OFFSET($H$3,0,0,'Données projet'!$E$15+1,1))</f>
        <v>313.36787814924116</v>
      </c>
      <c r="EP124" s="59">
        <f t="shared" si="100"/>
        <v>438.72984487610216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72.486062858320224</v>
      </c>
      <c r="EW124" s="21">
        <f>EXP(-LN(2)/25)*EW123+(1-EXP(-LN(2)/25))/(LN(2)/25)*Calculateur!ER124*Calculateur!ET124*VLOOKUP('Données projet'!$B$15,Paramètres!$A$1:$I$89,3,0)*0.475*44/12</f>
        <v>8.7236848959877182</v>
      </c>
      <c r="EX124" s="21">
        <f>EXP(-LN(2)/2)*EX123+(1-EXP(-LN(2)/2))/(LN(2)/2)*ER124*EU124*VLOOKUP('Données projet'!$B$15,Paramètres!$A$1:$I$89,3,0)*0.475*44/12</f>
        <v>7.8055113512141817E-10</v>
      </c>
      <c r="EY124" s="22">
        <f t="shared" si="75"/>
        <v>81.209747755088486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-5.6843418860808015E-14</v>
      </c>
      <c r="O125" s="13">
        <f>N125*VLOOKUP('Données projet'!$B$9,Paramètres!$A$1:$I$89,3,0)*VLOOKUP('Données projet'!$B$9,Paramètres!$A$1:$I$89,5,0)</f>
        <v>-5.1431925385259088E-14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173.91998182168385</v>
      </c>
      <c r="T125" s="59">
        <f t="shared" si="88"/>
        <v>72.011647893875363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88.487654711982799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88.487654711982799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-2.8421709430404007E-14</v>
      </c>
      <c r="AJ125" s="13">
        <f>AI125*VLOOKUP('Données projet'!$B$10,Paramètres!$A$1:$I$89,3,0)*VLOOKUP('Données projet'!$B$10,Paramètres!$A$1:$I$89,5,0)</f>
        <v>-3.0593128030886874E-14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150.9416300233616</v>
      </c>
      <c r="AO125" s="59">
        <f t="shared" si="90"/>
        <v>92.286636088269972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43.014514356322479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43.014514356322479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-2.8421709430404007E-14</v>
      </c>
      <c r="BE125" s="13">
        <f>BD125*VLOOKUP('Données projet'!$B$11,Paramètres!$A$1:$I$89,3,0)*VLOOKUP('Données projet'!$B$11,Paramètres!$A$1:$I$89,5,0)</f>
        <v>-2.7489477361086758E-14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131.02416800340484</v>
      </c>
      <c r="BJ125" s="59">
        <f t="shared" si="92"/>
        <v>79.394119001888555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38.650723044811507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38.650723044811507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-2.8421709430404007E-14</v>
      </c>
      <c r="BZ125" s="13">
        <f>BY125*VLOOKUP('Données projet'!$B$12,Paramètres!$A$1:$I$89,3,0)*VLOOKUP('Données projet'!$B$12,Paramètres!$A$1:$I$89,5,0)</f>
        <v>-2.5715962692629544E-14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119.62076457560073</v>
      </c>
      <c r="CE125" s="59">
        <f t="shared" si="94"/>
        <v>72.011647893875363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36.157128009662358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36.157128009662358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-2.8421709430404007E-14</v>
      </c>
      <c r="CU125" s="17">
        <f>CT125*VLOOKUP('Données projet'!$B$13,Paramètres!$A$1:$I$89,3,0)*VLOOKUP('Données projet'!$B$13,Paramètres!$A$1:$I$89,5,0)</f>
        <v>-3.0593128030886874E-14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150.9416300233616</v>
      </c>
      <c r="CZ125" s="59">
        <f t="shared" si="96"/>
        <v>92.286636088269972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43.014514356322479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43.014514356322479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439.99999999999943</v>
      </c>
      <c r="DP125" s="17">
        <f>DO125*VLOOKUP('Données projet'!$B$14,Paramètres!$A$1:$I$89,3,0)*VLOOKUP('Données projet'!$B$14,Paramètres!$A$1:$I$89,5,0)</f>
        <v>263.11999999999966</v>
      </c>
      <c r="DQ125" s="13">
        <f t="shared" si="97"/>
        <v>63.386973458751953</v>
      </c>
      <c r="DR125" s="20">
        <f t="shared" si="70"/>
        <v>568.66631210732578</v>
      </c>
      <c r="DS125" s="59">
        <f t="shared" si="71"/>
        <v>861.99964544065915</v>
      </c>
      <c r="DT125" s="59">
        <f ca="1">AVERAGE(OFFSET($DS$3,0,0,'Données projet'!$E$14+1,1))-AVERAGE(OFFSET($H$3,0,0,'Données projet'!$E$14+1,1))</f>
        <v>249.22792522076639</v>
      </c>
      <c r="DU125" s="59">
        <f t="shared" si="98"/>
        <v>244.53725944480669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17.061664714171229</v>
      </c>
      <c r="EB125" s="21">
        <f>EXP(-LN(2)/25)*EB124+(1-EXP(-LN(2)/25))/(LN(2)/25)*Calculateur!DW125*Calculateur!DY125*VLOOKUP('Données projet'!$B$14,Paramètres!$A$1:$I$89,3,0)*0.475*44/12</f>
        <v>3.9859224513037015</v>
      </c>
      <c r="EC125" s="21">
        <f>EXP(-LN(2)/2)*EC124+(1-EXP(-LN(2)/2))/(LN(2)/2)*DW125*DZ125*VLOOKUP('Données projet'!$B$14,Paramètres!$A$1:$I$89,3,0)*0.475*44/12</f>
        <v>2.762747626742052E-8</v>
      </c>
      <c r="ED125" s="22">
        <f t="shared" si="72"/>
        <v>21.047587193102405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2.2737367544323206E-13</v>
      </c>
      <c r="EK125" s="17">
        <f>EJ125*VLOOKUP('Données projet'!$B$15,Paramètres!$A$1:$I$89,3,0)*VLOOKUP('Données projet'!$B$15,Paramètres!$A$1:$I$89,5,0)</f>
        <v>1.2710188457276673E-13</v>
      </c>
      <c r="EL125" s="13">
        <f t="shared" si="99"/>
        <v>1.856866851063998E-12</v>
      </c>
      <c r="EM125" s="20">
        <f t="shared" si="73"/>
        <v>3.4554122145673649E-12</v>
      </c>
      <c r="EN125" s="59">
        <f t="shared" si="74"/>
        <v>293.33333333333678</v>
      </c>
      <c r="EO125" s="59">
        <f ca="1">AVERAGE(OFFSET($EN$3,0,0,'Données projet'!$E$15+1,1))-AVERAGE(OFFSET($H$3,0,0,'Données projet'!$E$15+1,1))</f>
        <v>313.36787814924116</v>
      </c>
      <c r="EP125" s="59">
        <f t="shared" si="100"/>
        <v>438.72984487610216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71.064655377801316</v>
      </c>
      <c r="EW125" s="21">
        <f>EXP(-LN(2)/25)*EW124+(1-EXP(-LN(2)/25))/(LN(2)/25)*Calculateur!ER125*Calculateur!ET125*VLOOKUP('Données projet'!$B$15,Paramètres!$A$1:$I$89,3,0)*0.475*44/12</f>
        <v>8.4851352737482841</v>
      </c>
      <c r="EX125" s="21">
        <f>EXP(-LN(2)/2)*EX124+(1-EXP(-LN(2)/2))/(LN(2)/2)*ER125*EU125*VLOOKUP('Données projet'!$B$15,Paramètres!$A$1:$I$89,3,0)*0.475*44/12</f>
        <v>5.5193300070721192E-10</v>
      </c>
      <c r="EY125" s="22">
        <f t="shared" si="75"/>
        <v>79.549790652101535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-5.6843418860808015E-14</v>
      </c>
      <c r="O126" s="13">
        <f>N126*VLOOKUP('Données projet'!$B$9,Paramètres!$A$1:$I$89,3,0)*VLOOKUP('Données projet'!$B$9,Paramètres!$A$1:$I$89,5,0)</f>
        <v>-5.1431925385259088E-14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173.91998182168385</v>
      </c>
      <c r="T126" s="59">
        <f t="shared" si="88"/>
        <v>72.011647893875363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86.752465775220884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86.752465775220884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-2.8421709430404007E-14</v>
      </c>
      <c r="AJ126" s="13">
        <f>AI126*VLOOKUP('Données projet'!$B$10,Paramètres!$A$1:$I$89,3,0)*VLOOKUP('Données projet'!$B$10,Paramètres!$A$1:$I$89,5,0)</f>
        <v>-3.0593128030886874E-14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150.9416300233616</v>
      </c>
      <c r="AO126" s="59">
        <f t="shared" si="90"/>
        <v>92.286636088269972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42.171025966058139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42.171025966058139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-2.8421709430404007E-14</v>
      </c>
      <c r="BE126" s="13">
        <f>BD126*VLOOKUP('Données projet'!$B$11,Paramètres!$A$1:$I$89,3,0)*VLOOKUP('Données projet'!$B$11,Paramètres!$A$1:$I$89,5,0)</f>
        <v>-2.7489477361086758E-14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131.02416800340484</v>
      </c>
      <c r="BJ126" s="59">
        <f t="shared" si="92"/>
        <v>79.394119001888555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37.892805940516013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37.892805940516013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-2.8421709430404007E-14</v>
      </c>
      <c r="BZ126" s="13">
        <f>BY126*VLOOKUP('Données projet'!$B$12,Paramètres!$A$1:$I$89,3,0)*VLOOKUP('Données projet'!$B$12,Paramètres!$A$1:$I$89,5,0)</f>
        <v>-2.5715962692629544E-14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119.62076457560073</v>
      </c>
      <c r="CE126" s="59">
        <f t="shared" si="94"/>
        <v>72.011647893875363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35.448108783063347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35.448108783063347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-2.8421709430404007E-14</v>
      </c>
      <c r="CU126" s="17">
        <f>CT126*VLOOKUP('Données projet'!$B$13,Paramètres!$A$1:$I$89,3,0)*VLOOKUP('Données projet'!$B$13,Paramètres!$A$1:$I$89,5,0)</f>
        <v>-3.0593128030886874E-14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150.9416300233616</v>
      </c>
      <c r="CZ126" s="59">
        <f t="shared" si="96"/>
        <v>92.286636088269972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42.171025966058139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42.171025966058139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439.99999999999943</v>
      </c>
      <c r="DP126" s="17">
        <f>DO126*VLOOKUP('Données projet'!$B$14,Paramètres!$A$1:$I$89,3,0)*VLOOKUP('Données projet'!$B$14,Paramètres!$A$1:$I$89,5,0)</f>
        <v>263.11999999999966</v>
      </c>
      <c r="DQ126" s="13">
        <f t="shared" si="97"/>
        <v>63.386973458751953</v>
      </c>
      <c r="DR126" s="20">
        <f t="shared" si="70"/>
        <v>568.66631210732578</v>
      </c>
      <c r="DS126" s="59">
        <f t="shared" si="71"/>
        <v>861.99964544065915</v>
      </c>
      <c r="DT126" s="59">
        <f ca="1">AVERAGE(OFFSET($DS$3,0,0,'Données projet'!$E$14+1,1))-AVERAGE(OFFSET($H$3,0,0,'Données projet'!$E$14+1,1))</f>
        <v>249.22792522076639</v>
      </c>
      <c r="DU126" s="59">
        <f t="shared" si="98"/>
        <v>244.53725944480669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16.727095875714241</v>
      </c>
      <c r="EB126" s="21">
        <f>EXP(-LN(2)/25)*EB125+(1-EXP(-LN(2)/25))/(LN(2)/25)*Calculateur!DW126*Calculateur!DY126*VLOOKUP('Données projet'!$B$14,Paramètres!$A$1:$I$89,3,0)*0.475*44/12</f>
        <v>3.8769271922622499</v>
      </c>
      <c r="EC126" s="21">
        <f>EXP(-LN(2)/2)*EC125+(1-EXP(-LN(2)/2))/(LN(2)/2)*DW126*DZ126*VLOOKUP('Données projet'!$B$14,Paramètres!$A$1:$I$89,3,0)*0.475*44/12</f>
        <v>1.9535575815763456E-8</v>
      </c>
      <c r="ED126" s="22">
        <f t="shared" si="72"/>
        <v>20.604023087512068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2.2737367544323206E-13</v>
      </c>
      <c r="EK126" s="17">
        <f>EJ126*VLOOKUP('Données projet'!$B$15,Paramètres!$A$1:$I$89,3,0)*VLOOKUP('Données projet'!$B$15,Paramètres!$A$1:$I$89,5,0)</f>
        <v>1.2710188457276673E-13</v>
      </c>
      <c r="EL126" s="13">
        <f t="shared" si="99"/>
        <v>1.856866851063998E-12</v>
      </c>
      <c r="EM126" s="20">
        <f t="shared" si="73"/>
        <v>3.4554122145673649E-12</v>
      </c>
      <c r="EN126" s="59">
        <f t="shared" si="74"/>
        <v>293.33333333333678</v>
      </c>
      <c r="EO126" s="59">
        <f ca="1">AVERAGE(OFFSET($EN$3,0,0,'Données projet'!$E$15+1,1))-AVERAGE(OFFSET($H$3,0,0,'Données projet'!$E$15+1,1))</f>
        <v>313.36787814924116</v>
      </c>
      <c r="EP126" s="59">
        <f t="shared" si="100"/>
        <v>438.72984487610216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69.67112083100244</v>
      </c>
      <c r="EW126" s="21">
        <f>EXP(-LN(2)/25)*EW125+(1-EXP(-LN(2)/25))/(LN(2)/25)*Calculateur!ER126*Calculateur!ET126*VLOOKUP('Données projet'!$B$15,Paramètres!$A$1:$I$89,3,0)*0.475*44/12</f>
        <v>8.2531088034737667</v>
      </c>
      <c r="EX126" s="21">
        <f>EXP(-LN(2)/2)*EX125+(1-EXP(-LN(2)/2))/(LN(2)/2)*ER126*EU126*VLOOKUP('Données projet'!$B$15,Paramètres!$A$1:$I$89,3,0)*0.475*44/12</f>
        <v>3.9027556756070908E-10</v>
      </c>
      <c r="EY126" s="22">
        <f t="shared" si="75"/>
        <v>77.924229634866478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-5.6843418860808015E-14</v>
      </c>
      <c r="O127" s="13">
        <f>N127*VLOOKUP('Données projet'!$B$9,Paramètres!$A$1:$I$89,3,0)*VLOOKUP('Données projet'!$B$9,Paramètres!$A$1:$I$89,5,0)</f>
        <v>-5.1431925385259088E-14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173.91998182168385</v>
      </c>
      <c r="T127" s="59">
        <f t="shared" si="88"/>
        <v>72.011647893875363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85.051302835148121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85.051302835148121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-2.8421709430404007E-14</v>
      </c>
      <c r="AJ127" s="13">
        <f>AI127*VLOOKUP('Données projet'!$B$10,Paramètres!$A$1:$I$89,3,0)*VLOOKUP('Données projet'!$B$10,Paramètres!$A$1:$I$89,5,0)</f>
        <v>-3.0593128030886874E-14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150.9416300233616</v>
      </c>
      <c r="AO127" s="59">
        <f t="shared" si="90"/>
        <v>92.286636088269972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41.344077868649762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41.344077868649762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-2.8421709430404007E-14</v>
      </c>
      <c r="BE127" s="13">
        <f>BD127*VLOOKUP('Données projet'!$B$11,Paramètres!$A$1:$I$89,3,0)*VLOOKUP('Données projet'!$B$11,Paramètres!$A$1:$I$89,5,0)</f>
        <v>-2.7489477361086758E-14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131.02416800340484</v>
      </c>
      <c r="BJ127" s="59">
        <f t="shared" si="92"/>
        <v>79.394119001888555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37.149751128351966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37.149751128351966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-2.8421709430404007E-14</v>
      </c>
      <c r="BZ127" s="13">
        <f>BY127*VLOOKUP('Données projet'!$B$12,Paramètres!$A$1:$I$89,3,0)*VLOOKUP('Données projet'!$B$12,Paramètres!$A$1:$I$89,5,0)</f>
        <v>-2.5715962692629544E-14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119.62076457560073</v>
      </c>
      <c r="CE127" s="59">
        <f t="shared" si="94"/>
        <v>72.011647893875363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34.752992991038916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34.752992991038916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-2.8421709430404007E-14</v>
      </c>
      <c r="CU127" s="17">
        <f>CT127*VLOOKUP('Données projet'!$B$13,Paramètres!$A$1:$I$89,3,0)*VLOOKUP('Données projet'!$B$13,Paramètres!$A$1:$I$89,5,0)</f>
        <v>-3.0593128030886874E-14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150.9416300233616</v>
      </c>
      <c r="CZ127" s="59">
        <f t="shared" si="96"/>
        <v>92.286636088269972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41.344077868649762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41.344077868649762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439.99999999999943</v>
      </c>
      <c r="DP127" s="17">
        <f>DO127*VLOOKUP('Données projet'!$B$14,Paramètres!$A$1:$I$89,3,0)*VLOOKUP('Données projet'!$B$14,Paramètres!$A$1:$I$89,5,0)</f>
        <v>263.11999999999966</v>
      </c>
      <c r="DQ127" s="13">
        <f t="shared" si="97"/>
        <v>63.386973458751953</v>
      </c>
      <c r="DR127" s="20">
        <f t="shared" si="70"/>
        <v>568.66631210732578</v>
      </c>
      <c r="DS127" s="59">
        <f t="shared" si="71"/>
        <v>861.99964544065915</v>
      </c>
      <c r="DT127" s="59">
        <f ca="1">AVERAGE(OFFSET($DS$3,0,0,'Données projet'!$E$14+1,1))-AVERAGE(OFFSET($H$3,0,0,'Données projet'!$E$14+1,1))</f>
        <v>249.22792522076639</v>
      </c>
      <c r="DU127" s="59">
        <f t="shared" si="98"/>
        <v>244.53725944480669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16.399087728112555</v>
      </c>
      <c r="EB127" s="21">
        <f>EXP(-LN(2)/25)*EB126+(1-EXP(-LN(2)/25))/(LN(2)/25)*Calculateur!DW127*Calculateur!DY127*VLOOKUP('Données projet'!$B$14,Paramètres!$A$1:$I$89,3,0)*0.475*44/12</f>
        <v>3.7709124143110984</v>
      </c>
      <c r="EC127" s="21">
        <f>EXP(-LN(2)/2)*EC126+(1-EXP(-LN(2)/2))/(LN(2)/2)*DW127*DZ127*VLOOKUP('Données projet'!$B$14,Paramètres!$A$1:$I$89,3,0)*0.475*44/12</f>
        <v>1.381373813371026E-8</v>
      </c>
      <c r="ED127" s="22">
        <f t="shared" si="72"/>
        <v>20.170000156237393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2.2737367544323206E-13</v>
      </c>
      <c r="EK127" s="17">
        <f>EJ127*VLOOKUP('Données projet'!$B$15,Paramètres!$A$1:$I$89,3,0)*VLOOKUP('Données projet'!$B$15,Paramètres!$A$1:$I$89,5,0)</f>
        <v>1.2710188457276673E-13</v>
      </c>
      <c r="EL127" s="13">
        <f t="shared" si="99"/>
        <v>1.856866851063998E-12</v>
      </c>
      <c r="EM127" s="20">
        <f t="shared" si="73"/>
        <v>3.4554122145673649E-12</v>
      </c>
      <c r="EN127" s="59">
        <f t="shared" si="74"/>
        <v>293.33333333333678</v>
      </c>
      <c r="EO127" s="59">
        <f ca="1">AVERAGE(OFFSET($EN$3,0,0,'Données projet'!$E$15+1,1))-AVERAGE(OFFSET($H$3,0,0,'Données projet'!$E$15+1,1))</f>
        <v>313.36787814924116</v>
      </c>
      <c r="EP127" s="59">
        <f t="shared" si="100"/>
        <v>438.72984487610216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68.304912646694135</v>
      </c>
      <c r="EW127" s="21">
        <f>EXP(-LN(2)/25)*EW126+(1-EXP(-LN(2)/25))/(LN(2)/25)*Calculateur!ER127*Calculateur!ET127*VLOOKUP('Données projet'!$B$15,Paramètres!$A$1:$I$89,3,0)*0.475*44/12</f>
        <v>8.0274271092306471</v>
      </c>
      <c r="EX127" s="21">
        <f>EXP(-LN(2)/2)*EX126+(1-EXP(-LN(2)/2))/(LN(2)/2)*ER127*EU127*VLOOKUP('Données projet'!$B$15,Paramètres!$A$1:$I$89,3,0)*0.475*44/12</f>
        <v>2.7596650035360596E-10</v>
      </c>
      <c r="EY127" s="22">
        <f t="shared" si="75"/>
        <v>76.332339756200739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-5.6843418860808015E-14</v>
      </c>
      <c r="O128" s="13">
        <f>N128*VLOOKUP('Données projet'!$B$9,Paramètres!$A$1:$I$89,3,0)*VLOOKUP('Données projet'!$B$9,Paramètres!$A$1:$I$89,5,0)</f>
        <v>-5.1431925385259088E-14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173.91998182168385</v>
      </c>
      <c r="T128" s="59">
        <f t="shared" si="88"/>
        <v>72.011647893875363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83.383498662723255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83.383498662723255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-2.8421709430404007E-14</v>
      </c>
      <c r="AJ128" s="13">
        <f>AI128*VLOOKUP('Données projet'!$B$10,Paramètres!$A$1:$I$89,3,0)*VLOOKUP('Données projet'!$B$10,Paramètres!$A$1:$I$89,5,0)</f>
        <v>-3.0593128030886874E-14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150.9416300233616</v>
      </c>
      <c r="AO128" s="59">
        <f t="shared" si="90"/>
        <v>92.286636088269972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40.533345719043027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40.533345719043027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-2.8421709430404007E-14</v>
      </c>
      <c r="BE128" s="13">
        <f>BD128*VLOOKUP('Données projet'!$B$11,Paramètres!$A$1:$I$89,3,0)*VLOOKUP('Données projet'!$B$11,Paramètres!$A$1:$I$89,5,0)</f>
        <v>-2.7489477361086758E-14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131.02416800340484</v>
      </c>
      <c r="BJ128" s="59">
        <f t="shared" si="92"/>
        <v>79.394119001888555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36.421267167835772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36.421267167835772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-2.8421709430404007E-14</v>
      </c>
      <c r="BZ128" s="13">
        <f>BY128*VLOOKUP('Données projet'!$B$12,Paramètres!$A$1:$I$89,3,0)*VLOOKUP('Données projet'!$B$12,Paramètres!$A$1:$I$89,5,0)</f>
        <v>-2.5715962692629544E-14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119.62076457560073</v>
      </c>
      <c r="CE128" s="59">
        <f t="shared" si="94"/>
        <v>72.011647893875363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34.071507995717312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34.071507995717312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-2.8421709430404007E-14</v>
      </c>
      <c r="CU128" s="17">
        <f>CT128*VLOOKUP('Données projet'!$B$13,Paramètres!$A$1:$I$89,3,0)*VLOOKUP('Données projet'!$B$13,Paramètres!$A$1:$I$89,5,0)</f>
        <v>-3.0593128030886874E-14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150.9416300233616</v>
      </c>
      <c r="CZ128" s="59">
        <f t="shared" si="96"/>
        <v>92.286636088269972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40.533345719043027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40.533345719043027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439.99999999999943</v>
      </c>
      <c r="DP128" s="17">
        <f>DO128*VLOOKUP('Données projet'!$B$14,Paramètres!$A$1:$I$89,3,0)*VLOOKUP('Données projet'!$B$14,Paramètres!$A$1:$I$89,5,0)</f>
        <v>263.11999999999966</v>
      </c>
      <c r="DQ128" s="13">
        <f t="shared" si="97"/>
        <v>63.386973458751953</v>
      </c>
      <c r="DR128" s="20">
        <f t="shared" si="70"/>
        <v>568.66631210732578</v>
      </c>
      <c r="DS128" s="59">
        <f t="shared" si="71"/>
        <v>861.99964544065915</v>
      </c>
      <c r="DT128" s="59">
        <f ca="1">AVERAGE(OFFSET($DS$3,0,0,'Données projet'!$E$14+1,1))-AVERAGE(OFFSET($H$3,0,0,'Données projet'!$E$14+1,1))</f>
        <v>249.22792522076639</v>
      </c>
      <c r="DU128" s="59">
        <f t="shared" si="98"/>
        <v>244.53725944480669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16.077511620220122</v>
      </c>
      <c r="EB128" s="21">
        <f>EXP(-LN(2)/25)*EB127+(1-EXP(-LN(2)/25))/(LN(2)/25)*Calculateur!DW128*Calculateur!DY128*VLOOKUP('Données projet'!$B$14,Paramètres!$A$1:$I$89,3,0)*0.475*44/12</f>
        <v>3.6677966160380961</v>
      </c>
      <c r="EC128" s="21">
        <f>EXP(-LN(2)/2)*EC127+(1-EXP(-LN(2)/2))/(LN(2)/2)*DW128*DZ128*VLOOKUP('Données projet'!$B$14,Paramètres!$A$1:$I$89,3,0)*0.475*44/12</f>
        <v>9.767787907881728E-9</v>
      </c>
      <c r="ED128" s="22">
        <f t="shared" si="72"/>
        <v>19.745308246026006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2.2737367544323206E-13</v>
      </c>
      <c r="EK128" s="17">
        <f>EJ128*VLOOKUP('Données projet'!$B$15,Paramètres!$A$1:$I$89,3,0)*VLOOKUP('Données projet'!$B$15,Paramètres!$A$1:$I$89,5,0)</f>
        <v>1.2710188457276673E-13</v>
      </c>
      <c r="EL128" s="13">
        <f t="shared" si="99"/>
        <v>1.856866851063998E-12</v>
      </c>
      <c r="EM128" s="20">
        <f t="shared" si="73"/>
        <v>3.4554122145673649E-12</v>
      </c>
      <c r="EN128" s="59">
        <f t="shared" si="74"/>
        <v>293.33333333333678</v>
      </c>
      <c r="EO128" s="59">
        <f ca="1">AVERAGE(OFFSET($EN$3,0,0,'Données projet'!$E$15+1,1))-AVERAGE(OFFSET($H$3,0,0,'Données projet'!$E$15+1,1))</f>
        <v>313.36787814924116</v>
      </c>
      <c r="EP128" s="59">
        <f t="shared" si="100"/>
        <v>438.72984487610216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66.96549497157541</v>
      </c>
      <c r="EW128" s="21">
        <f>EXP(-LN(2)/25)*EW127+(1-EXP(-LN(2)/25))/(LN(2)/25)*Calculateur!ER128*Calculateur!ET128*VLOOKUP('Données projet'!$B$15,Paramètres!$A$1:$I$89,3,0)*0.475*44/12</f>
        <v>7.8079166927846906</v>
      </c>
      <c r="EX128" s="21">
        <f>EXP(-LN(2)/2)*EX127+(1-EXP(-LN(2)/2))/(LN(2)/2)*ER128*EU128*VLOOKUP('Données projet'!$B$15,Paramètres!$A$1:$I$89,3,0)*0.475*44/12</f>
        <v>1.9513778378035454E-10</v>
      </c>
      <c r="EY128" s="22">
        <f t="shared" si="75"/>
        <v>74.77341166455524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-5.6843418860808015E-14</v>
      </c>
      <c r="O129" s="13">
        <f>N129*VLOOKUP('Données projet'!$B$9,Paramètres!$A$1:$I$89,3,0)*VLOOKUP('Données projet'!$B$9,Paramètres!$A$1:$I$89,5,0)</f>
        <v>-5.1431925385259088E-14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173.91998182168385</v>
      </c>
      <c r="T129" s="59">
        <f t="shared" si="88"/>
        <v>72.011647893875363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81.748399112859531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81.748399112859531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-2.8421709430404007E-14</v>
      </c>
      <c r="AJ129" s="13">
        <f>AI129*VLOOKUP('Données projet'!$B$10,Paramètres!$A$1:$I$89,3,0)*VLOOKUP('Données projet'!$B$10,Paramètres!$A$1:$I$89,5,0)</f>
        <v>-3.0593128030886874E-14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150.9416300233616</v>
      </c>
      <c r="AO129" s="59">
        <f t="shared" si="90"/>
        <v>92.286636088269972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39.738511532392295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39.738511532392295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-2.8421709430404007E-14</v>
      </c>
      <c r="BE129" s="13">
        <f>BD129*VLOOKUP('Données projet'!$B$11,Paramètres!$A$1:$I$89,3,0)*VLOOKUP('Données projet'!$B$11,Paramètres!$A$1:$I$89,5,0)</f>
        <v>-2.7489477361086758E-14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131.02416800340484</v>
      </c>
      <c r="BJ129" s="59">
        <f t="shared" si="92"/>
        <v>79.394119001888555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35.707068333453961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35.707068333453961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-2.8421709430404007E-14</v>
      </c>
      <c r="BZ129" s="13">
        <f>BY129*VLOOKUP('Données projet'!$B$12,Paramètres!$A$1:$I$89,3,0)*VLOOKUP('Données projet'!$B$12,Paramètres!$A$1:$I$89,5,0)</f>
        <v>-2.5715962692629544E-14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119.62076457560073</v>
      </c>
      <c r="CE129" s="59">
        <f t="shared" si="94"/>
        <v>72.011647893875363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33.403386505489166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33.403386505489166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-2.8421709430404007E-14</v>
      </c>
      <c r="CU129" s="17">
        <f>CT129*VLOOKUP('Données projet'!$B$13,Paramètres!$A$1:$I$89,3,0)*VLOOKUP('Données projet'!$B$13,Paramètres!$A$1:$I$89,5,0)</f>
        <v>-3.0593128030886874E-14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150.9416300233616</v>
      </c>
      <c r="CZ129" s="59">
        <f t="shared" si="96"/>
        <v>92.286636088269972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39.738511532392295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39.738511532392295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439.99999999999943</v>
      </c>
      <c r="DP129" s="17">
        <f>DO129*VLOOKUP('Données projet'!$B$14,Paramètres!$A$1:$I$89,3,0)*VLOOKUP('Données projet'!$B$14,Paramètres!$A$1:$I$89,5,0)</f>
        <v>263.11999999999966</v>
      </c>
      <c r="DQ129" s="13">
        <f t="shared" si="97"/>
        <v>63.386973458751953</v>
      </c>
      <c r="DR129" s="20">
        <f t="shared" si="70"/>
        <v>568.66631210732578</v>
      </c>
      <c r="DS129" s="59">
        <f t="shared" si="71"/>
        <v>861.99964544065915</v>
      </c>
      <c r="DT129" s="59">
        <f ca="1">AVERAGE(OFFSET($DS$3,0,0,'Données projet'!$E$14+1,1))-AVERAGE(OFFSET($H$3,0,0,'Données projet'!$E$14+1,1))</f>
        <v>249.22792522076639</v>
      </c>
      <c r="DU129" s="59">
        <f t="shared" si="98"/>
        <v>244.53725944480669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15.762241423661401</v>
      </c>
      <c r="EB129" s="21">
        <f>EXP(-LN(2)/25)*EB128+(1-EXP(-LN(2)/25))/(LN(2)/25)*Calculateur!DW129*Calculateur!DY129*VLOOKUP('Données projet'!$B$14,Paramètres!$A$1:$I$89,3,0)*0.475*44/12</f>
        <v>3.5675005246914933</v>
      </c>
      <c r="EC129" s="21">
        <f>EXP(-LN(2)/2)*EC128+(1-EXP(-LN(2)/2))/(LN(2)/2)*DW129*DZ129*VLOOKUP('Données projet'!$B$14,Paramètres!$A$1:$I$89,3,0)*0.475*44/12</f>
        <v>6.90686906685513E-9</v>
      </c>
      <c r="ED129" s="22">
        <f t="shared" si="72"/>
        <v>19.329741955259763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2.2737367544323206E-13</v>
      </c>
      <c r="EK129" s="17">
        <f>EJ129*VLOOKUP('Données projet'!$B$15,Paramètres!$A$1:$I$89,3,0)*VLOOKUP('Données projet'!$B$15,Paramètres!$A$1:$I$89,5,0)</f>
        <v>1.2710188457276673E-13</v>
      </c>
      <c r="EL129" s="13">
        <f t="shared" si="99"/>
        <v>1.856866851063998E-12</v>
      </c>
      <c r="EM129" s="20">
        <f t="shared" si="73"/>
        <v>3.4554122145673649E-12</v>
      </c>
      <c r="EN129" s="59">
        <f t="shared" si="74"/>
        <v>293.33333333333678</v>
      </c>
      <c r="EO129" s="59">
        <f ca="1">AVERAGE(OFFSET($EN$3,0,0,'Données projet'!$E$15+1,1))-AVERAGE(OFFSET($H$3,0,0,'Données projet'!$E$15+1,1))</f>
        <v>313.36787814924116</v>
      </c>
      <c r="EP129" s="59">
        <f t="shared" si="100"/>
        <v>438.72984487610216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65.65234246010165</v>
      </c>
      <c r="EW129" s="21">
        <f>EXP(-LN(2)/25)*EW128+(1-EXP(-LN(2)/25))/(LN(2)/25)*Calculateur!ER129*Calculateur!ET129*VLOOKUP('Données projet'!$B$15,Paramètres!$A$1:$I$89,3,0)*0.475*44/12</f>
        <v>7.5944088002199992</v>
      </c>
      <c r="EX129" s="21">
        <f>EXP(-LN(2)/2)*EX128+(1-EXP(-LN(2)/2))/(LN(2)/2)*ER129*EU129*VLOOKUP('Données projet'!$B$15,Paramètres!$A$1:$I$89,3,0)*0.475*44/12</f>
        <v>1.3798325017680298E-10</v>
      </c>
      <c r="EY129" s="22">
        <f t="shared" si="75"/>
        <v>73.246751260459632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-5.6843418860808015E-14</v>
      </c>
      <c r="O130" s="13">
        <f>N130*VLOOKUP('Données projet'!$B$9,Paramètres!$A$1:$I$89,3,0)*VLOOKUP('Données projet'!$B$9,Paramètres!$A$1:$I$89,5,0)</f>
        <v>-5.1431925385259088E-14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173.91998182168385</v>
      </c>
      <c r="T130" s="59">
        <f t="shared" si="88"/>
        <v>72.011647893875363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80.145362867856392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80.145362867856392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-2.8421709430404007E-14</v>
      </c>
      <c r="AJ130" s="13">
        <f>AI130*VLOOKUP('Données projet'!$B$10,Paramètres!$A$1:$I$89,3,0)*VLOOKUP('Données projet'!$B$10,Paramètres!$A$1:$I$89,5,0)</f>
        <v>-3.0593128030886874E-14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150.9416300233616</v>
      </c>
      <c r="AO130" s="59">
        <f t="shared" si="90"/>
        <v>92.286636088269972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38.959263559340805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38.959263559340805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-2.8421709430404007E-14</v>
      </c>
      <c r="BE130" s="13">
        <f>BD130*VLOOKUP('Données projet'!$B$11,Paramètres!$A$1:$I$89,3,0)*VLOOKUP('Données projet'!$B$11,Paramètres!$A$1:$I$89,5,0)</f>
        <v>-2.7489477361086758E-14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131.02416800340484</v>
      </c>
      <c r="BJ130" s="59">
        <f t="shared" si="92"/>
        <v>79.394119001888555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35.006874502596098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35.006874502596098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-2.8421709430404007E-14</v>
      </c>
      <c r="BZ130" s="13">
        <f>BY130*VLOOKUP('Données projet'!$B$12,Paramètres!$A$1:$I$89,3,0)*VLOOKUP('Données projet'!$B$12,Paramètres!$A$1:$I$89,5,0)</f>
        <v>-2.5715962692629544E-14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119.62076457560073</v>
      </c>
      <c r="CE130" s="59">
        <f t="shared" si="94"/>
        <v>72.011647893875363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32.748366470170524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32.748366470170524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-2.8421709430404007E-14</v>
      </c>
      <c r="CU130" s="17">
        <f>CT130*VLOOKUP('Données projet'!$B$13,Paramètres!$A$1:$I$89,3,0)*VLOOKUP('Données projet'!$B$13,Paramètres!$A$1:$I$89,5,0)</f>
        <v>-3.0593128030886874E-14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150.9416300233616</v>
      </c>
      <c r="CZ130" s="59">
        <f t="shared" si="96"/>
        <v>92.286636088269972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38.959263559340805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38.959263559340805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439.99999999999943</v>
      </c>
      <c r="DP130" s="17">
        <f>DO130*VLOOKUP('Données projet'!$B$14,Paramètres!$A$1:$I$89,3,0)*VLOOKUP('Données projet'!$B$14,Paramètres!$A$1:$I$89,5,0)</f>
        <v>263.11999999999966</v>
      </c>
      <c r="DQ130" s="13">
        <f t="shared" si="97"/>
        <v>63.386973458751953</v>
      </c>
      <c r="DR130" s="20">
        <f t="shared" si="70"/>
        <v>568.66631210732578</v>
      </c>
      <c r="DS130" s="59">
        <f t="shared" si="71"/>
        <v>861.99964544065915</v>
      </c>
      <c r="DT130" s="59">
        <f ca="1">AVERAGE(OFFSET($DS$3,0,0,'Données projet'!$E$14+1,1))-AVERAGE(OFFSET($H$3,0,0,'Données projet'!$E$14+1,1))</f>
        <v>249.22792522076639</v>
      </c>
      <c r="DU130" s="59">
        <f t="shared" si="98"/>
        <v>244.53725944480669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15.453153483361364</v>
      </c>
      <c r="EB130" s="21">
        <f>EXP(-LN(2)/25)*EB129+(1-EXP(-LN(2)/25))/(LN(2)/25)*Calculateur!DW130*Calculateur!DY130*VLOOKUP('Données projet'!$B$14,Paramètres!$A$1:$I$89,3,0)*0.475*44/12</f>
        <v>3.4699470352371056</v>
      </c>
      <c r="EC130" s="21">
        <f>EXP(-LN(2)/2)*EC129+(1-EXP(-LN(2)/2))/(LN(2)/2)*DW130*DZ130*VLOOKUP('Données projet'!$B$14,Paramètres!$A$1:$I$89,3,0)*0.475*44/12</f>
        <v>4.883893953940864E-9</v>
      </c>
      <c r="ED130" s="22">
        <f t="shared" si="72"/>
        <v>18.923100523482365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2.2737367544323206E-13</v>
      </c>
      <c r="EK130" s="17">
        <f>EJ130*VLOOKUP('Données projet'!$B$15,Paramètres!$A$1:$I$89,3,0)*VLOOKUP('Données projet'!$B$15,Paramètres!$A$1:$I$89,5,0)</f>
        <v>1.2710188457276673E-13</v>
      </c>
      <c r="EL130" s="13">
        <f t="shared" si="99"/>
        <v>1.856866851063998E-12</v>
      </c>
      <c r="EM130" s="20">
        <f t="shared" si="73"/>
        <v>3.4554122145673649E-12</v>
      </c>
      <c r="EN130" s="59">
        <f t="shared" si="74"/>
        <v>293.33333333333678</v>
      </c>
      <c r="EO130" s="59">
        <f ca="1">AVERAGE(OFFSET($EN$3,0,0,'Données projet'!$E$15+1,1))-AVERAGE(OFFSET($H$3,0,0,'Données projet'!$E$15+1,1))</f>
        <v>313.36787814924116</v>
      </c>
      <c r="EP130" s="59">
        <f t="shared" si="100"/>
        <v>438.72984487610216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64.364940068433938</v>
      </c>
      <c r="EW130" s="21">
        <f>EXP(-LN(2)/25)*EW129+(1-EXP(-LN(2)/25))/(LN(2)/25)*Calculateur!ER130*Calculateur!ET130*VLOOKUP('Données projet'!$B$15,Paramètres!$A$1:$I$89,3,0)*0.475*44/12</f>
        <v>7.3867392922053821</v>
      </c>
      <c r="EX130" s="21">
        <f>EXP(-LN(2)/2)*EX129+(1-EXP(-LN(2)/2))/(LN(2)/2)*ER130*EU130*VLOOKUP('Données projet'!$B$15,Paramètres!$A$1:$I$89,3,0)*0.475*44/12</f>
        <v>9.7568891890177271E-11</v>
      </c>
      <c r="EY130" s="22">
        <f t="shared" si="75"/>
        <v>71.751679360736887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-5.6843418860808015E-14</v>
      </c>
      <c r="O131" s="13">
        <f>N131*VLOOKUP('Données projet'!$B$9,Paramètres!$A$1:$I$89,3,0)*VLOOKUP('Données projet'!$B$9,Paramètres!$A$1:$I$89,5,0)</f>
        <v>-5.1431925385259088E-14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173.91998182168385</v>
      </c>
      <c r="T131" s="59">
        <f t="shared" si="88"/>
        <v>72.011647893875363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78.573761185862196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78.573761185862196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-2.8421709430404007E-14</v>
      </c>
      <c r="AJ131" s="13">
        <f>AI131*VLOOKUP('Données projet'!$B$10,Paramètres!$A$1:$I$89,3,0)*VLOOKUP('Données projet'!$B$10,Paramètres!$A$1:$I$89,5,0)</f>
        <v>-3.0593128030886874E-14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150.9416300233616</v>
      </c>
      <c r="AO131" s="59">
        <f t="shared" si="90"/>
        <v>92.286636088269972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38.195296163746519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38.195296163746519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-2.8421709430404007E-14</v>
      </c>
      <c r="BE131" s="13">
        <f>BD131*VLOOKUP('Données projet'!$B$11,Paramètres!$A$1:$I$89,3,0)*VLOOKUP('Données projet'!$B$11,Paramètres!$A$1:$I$89,5,0)</f>
        <v>-2.7489477361086758E-14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131.02416800340484</v>
      </c>
      <c r="BJ131" s="59">
        <f t="shared" si="92"/>
        <v>79.394119001888555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34.32041104568529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34.32041104568529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-2.8421709430404007E-14</v>
      </c>
      <c r="BZ131" s="13">
        <f>BY131*VLOOKUP('Données projet'!$B$12,Paramètres!$A$1:$I$89,3,0)*VLOOKUP('Données projet'!$B$12,Paramètres!$A$1:$I$89,5,0)</f>
        <v>-2.5715962692629544E-14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119.62076457560073</v>
      </c>
      <c r="CE131" s="59">
        <f t="shared" si="94"/>
        <v>72.011647893875363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32.106190978221704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32.106190978221704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-2.8421709430404007E-14</v>
      </c>
      <c r="CU131" s="17">
        <f>CT131*VLOOKUP('Données projet'!$B$13,Paramètres!$A$1:$I$89,3,0)*VLOOKUP('Données projet'!$B$13,Paramètres!$A$1:$I$89,5,0)</f>
        <v>-3.0593128030886874E-14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150.9416300233616</v>
      </c>
      <c r="CZ131" s="59">
        <f t="shared" si="96"/>
        <v>92.286636088269972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38.195296163746519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38.195296163746519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439.99999999999943</v>
      </c>
      <c r="DP131" s="17">
        <f>DO131*VLOOKUP('Données projet'!$B$14,Paramètres!$A$1:$I$89,3,0)*VLOOKUP('Données projet'!$B$14,Paramètres!$A$1:$I$89,5,0)</f>
        <v>263.11999999999966</v>
      </c>
      <c r="DQ131" s="13">
        <f t="shared" si="97"/>
        <v>63.386973458751953</v>
      </c>
      <c r="DR131" s="20">
        <f t="shared" si="70"/>
        <v>568.66631210732578</v>
      </c>
      <c r="DS131" s="59">
        <f t="shared" si="71"/>
        <v>861.99964544065915</v>
      </c>
      <c r="DT131" s="59">
        <f ca="1">AVERAGE(OFFSET($DS$3,0,0,'Données projet'!$E$14+1,1))-AVERAGE(OFFSET($H$3,0,0,'Données projet'!$E$14+1,1))</f>
        <v>249.22792522076639</v>
      </c>
      <c r="DU131" s="59">
        <f t="shared" si="98"/>
        <v>244.53725944480669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15.150126569045582</v>
      </c>
      <c r="EB131" s="21">
        <f>EXP(-LN(2)/25)*EB130+(1-EXP(-LN(2)/25))/(LN(2)/25)*Calculateur!DW131*Calculateur!DY131*VLOOKUP('Données projet'!$B$14,Paramètres!$A$1:$I$89,3,0)*0.475*44/12</f>
        <v>3.375061151081963</v>
      </c>
      <c r="EC131" s="21">
        <f>EXP(-LN(2)/2)*EC130+(1-EXP(-LN(2)/2))/(LN(2)/2)*DW131*DZ131*VLOOKUP('Données projet'!$B$14,Paramètres!$A$1:$I$89,3,0)*0.475*44/12</f>
        <v>3.453434533427565E-9</v>
      </c>
      <c r="ED131" s="22">
        <f t="shared" si="72"/>
        <v>18.525187723580977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2.2737367544323206E-13</v>
      </c>
      <c r="EK131" s="17">
        <f>EJ131*VLOOKUP('Données projet'!$B$15,Paramètres!$A$1:$I$89,3,0)*VLOOKUP('Données projet'!$B$15,Paramètres!$A$1:$I$89,5,0)</f>
        <v>1.2710188457276673E-13</v>
      </c>
      <c r="EL131" s="13">
        <f t="shared" si="99"/>
        <v>1.856866851063998E-12</v>
      </c>
      <c r="EM131" s="20">
        <f t="shared" si="73"/>
        <v>3.4554122145673649E-12</v>
      </c>
      <c r="EN131" s="59">
        <f t="shared" si="74"/>
        <v>293.33333333333678</v>
      </c>
      <c r="EO131" s="59">
        <f ca="1">AVERAGE(OFFSET($EN$3,0,0,'Données projet'!$E$15+1,1))-AVERAGE(OFFSET($H$3,0,0,'Données projet'!$E$15+1,1))</f>
        <v>313.36787814924116</v>
      </c>
      <c r="EP131" s="59">
        <f t="shared" si="100"/>
        <v>438.72984487610216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63.102782852428909</v>
      </c>
      <c r="EW131" s="21">
        <f>EXP(-LN(2)/25)*EW130+(1-EXP(-LN(2)/25))/(LN(2)/25)*Calculateur!ER131*Calculateur!ET131*VLOOKUP('Données projet'!$B$15,Paramètres!$A$1:$I$89,3,0)*0.475*44/12</f>
        <v>7.1847485178082895</v>
      </c>
      <c r="EX131" s="21">
        <f>EXP(-LN(2)/2)*EX130+(1-EXP(-LN(2)/2))/(LN(2)/2)*ER131*EU131*VLOOKUP('Données projet'!$B$15,Paramètres!$A$1:$I$89,3,0)*0.475*44/12</f>
        <v>6.899162508840149E-11</v>
      </c>
      <c r="EY131" s="22">
        <f t="shared" si="75"/>
        <v>70.287531370306198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-5.6843418860808015E-14</v>
      </c>
      <c r="O132" s="13">
        <f>N132*VLOOKUP('Données projet'!$B$9,Paramètres!$A$1:$I$89,3,0)*VLOOKUP('Données projet'!$B$9,Paramètres!$A$1:$I$89,5,0)</f>
        <v>-5.1431925385259088E-14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173.91998182168385</v>
      </c>
      <c r="T132" s="59">
        <f t="shared" si="88"/>
        <v>72.011647893875363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77.03297765426953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77.03297765426953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-2.8421709430404007E-14</v>
      </c>
      <c r="AJ132" s="13">
        <f>AI132*VLOOKUP('Données projet'!$B$10,Paramètres!$A$1:$I$89,3,0)*VLOOKUP('Données projet'!$B$10,Paramètres!$A$1:$I$89,5,0)</f>
        <v>-3.0593128030886874E-14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150.9416300233616</v>
      </c>
      <c r="AO132" s="59">
        <f t="shared" si="90"/>
        <v>92.286636088269972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37.446309702805742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37.446309702805742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-2.8421709430404007E-14</v>
      </c>
      <c r="BE132" s="13">
        <f>BD132*VLOOKUP('Données projet'!$B$11,Paramètres!$A$1:$I$89,3,0)*VLOOKUP('Données projet'!$B$11,Paramètres!$A$1:$I$89,5,0)</f>
        <v>-2.7489477361086758E-14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131.02416800340484</v>
      </c>
      <c r="BJ132" s="59">
        <f t="shared" si="92"/>
        <v>79.394119001888555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33.64740871846314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33.64740871846314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-2.8421709430404007E-14</v>
      </c>
      <c r="BZ132" s="13">
        <f>BY132*VLOOKUP('Données projet'!$B$12,Paramètres!$A$1:$I$89,3,0)*VLOOKUP('Données projet'!$B$12,Paramètres!$A$1:$I$89,5,0)</f>
        <v>-2.5715962692629544E-14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119.62076457560073</v>
      </c>
      <c r="CE132" s="59">
        <f t="shared" si="94"/>
        <v>72.011647893875363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31.47660815598163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31.47660815598163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-2.8421709430404007E-14</v>
      </c>
      <c r="CU132" s="17">
        <f>CT132*VLOOKUP('Données projet'!$B$13,Paramètres!$A$1:$I$89,3,0)*VLOOKUP('Données projet'!$B$13,Paramètres!$A$1:$I$89,5,0)</f>
        <v>-3.0593128030886874E-14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150.9416300233616</v>
      </c>
      <c r="CZ132" s="59">
        <f t="shared" si="96"/>
        <v>92.286636088269972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37.446309702805742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37.446309702805742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439.99999999999943</v>
      </c>
      <c r="DP132" s="17">
        <f>DO132*VLOOKUP('Données projet'!$B$14,Paramètres!$A$1:$I$89,3,0)*VLOOKUP('Données projet'!$B$14,Paramètres!$A$1:$I$89,5,0)</f>
        <v>263.11999999999966</v>
      </c>
      <c r="DQ132" s="13">
        <f t="shared" si="97"/>
        <v>63.386973458751953</v>
      </c>
      <c r="DR132" s="20">
        <f t="shared" ref="DR132:DR153" si="124">(DP132+DQ132)*0.475*44/12</f>
        <v>568.66631210732578</v>
      </c>
      <c r="DS132" s="59">
        <f t="shared" ref="DS132:DS195" si="125">DR132+(DJ132+DK132)*44/12</f>
        <v>861.99964544065915</v>
      </c>
      <c r="DT132" s="59">
        <f ca="1">AVERAGE(OFFSET($DS$3,0,0,'Données projet'!$E$14+1,1))-AVERAGE(OFFSET($H$3,0,0,'Données projet'!$E$14+1,1))</f>
        <v>249.22792522076639</v>
      </c>
      <c r="DU132" s="59">
        <f t="shared" si="98"/>
        <v>244.53725944480669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14.853041827691365</v>
      </c>
      <c r="EB132" s="21">
        <f>EXP(-LN(2)/25)*EB131+(1-EXP(-LN(2)/25))/(LN(2)/25)*Calculateur!DW132*Calculateur!DY132*VLOOKUP('Données projet'!$B$14,Paramètres!$A$1:$I$89,3,0)*0.475*44/12</f>
        <v>3.2827699264188746</v>
      </c>
      <c r="EC132" s="21">
        <f>EXP(-LN(2)/2)*EC131+(1-EXP(-LN(2)/2))/(LN(2)/2)*DW132*DZ132*VLOOKUP('Données projet'!$B$14,Paramètres!$A$1:$I$89,3,0)*0.475*44/12</f>
        <v>2.441946976970432E-9</v>
      </c>
      <c r="ED132" s="22">
        <f t="shared" ref="ED132:ED153" si="126">SUM(EA132:EC132)</f>
        <v>18.135811756552187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2.2737367544323206E-13</v>
      </c>
      <c r="EK132" s="17">
        <f>EJ132*VLOOKUP('Données projet'!$B$15,Paramètres!$A$1:$I$89,3,0)*VLOOKUP('Données projet'!$B$15,Paramètres!$A$1:$I$89,5,0)</f>
        <v>1.2710188457276673E-13</v>
      </c>
      <c r="EL132" s="13">
        <f t="shared" si="99"/>
        <v>1.856866851063998E-12</v>
      </c>
      <c r="EM132" s="20">
        <f t="shared" ref="EM132:EM153" si="127">(EK132+EL132)*0.475*44/12</f>
        <v>3.4554122145673649E-12</v>
      </c>
      <c r="EN132" s="59">
        <f t="shared" ref="EN132:EN195" si="128">EM132+(EE132+EF132)*44/12</f>
        <v>293.33333333333678</v>
      </c>
      <c r="EO132" s="59">
        <f ca="1">AVERAGE(OFFSET($EN$3,0,0,'Données projet'!$E$15+1,1))-AVERAGE(OFFSET($H$3,0,0,'Données projet'!$E$15+1,1))</f>
        <v>313.36787814924116</v>
      </c>
      <c r="EP132" s="59">
        <f t="shared" si="100"/>
        <v>438.72984487610216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61.865375769589853</v>
      </c>
      <c r="EW132" s="21">
        <f>EXP(-LN(2)/25)*EW131+(1-EXP(-LN(2)/25))/(LN(2)/25)*Calculateur!ER132*Calculateur!ET132*VLOOKUP('Données projet'!$B$15,Paramètres!$A$1:$I$89,3,0)*0.475*44/12</f>
        <v>6.9882811917593184</v>
      </c>
      <c r="EX132" s="21">
        <f>EXP(-LN(2)/2)*EX131+(1-EXP(-LN(2)/2))/(LN(2)/2)*ER132*EU132*VLOOKUP('Données projet'!$B$15,Paramètres!$A$1:$I$89,3,0)*0.475*44/12</f>
        <v>4.8784445945088636E-11</v>
      </c>
      <c r="EY132" s="22">
        <f t="shared" ref="EY132:EY153" si="129">SUM(EV132:EX132)</f>
        <v>68.853656961397959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-5.6843418860808015E-14</v>
      </c>
      <c r="O133" s="13">
        <f>N133*VLOOKUP('Données projet'!$B$9,Paramètres!$A$1:$I$89,3,0)*VLOOKUP('Données projet'!$B$9,Paramètres!$A$1:$I$89,5,0)</f>
        <v>-5.1431925385259088E-14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173.91998182168385</v>
      </c>
      <c r="T133" s="59">
        <f t="shared" ref="T133:T196" si="142">$T$3</f>
        <v>72.011647893875363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75.522407947946249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75.522407947946249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-2.8421709430404007E-14</v>
      </c>
      <c r="AJ133" s="13">
        <f>AI133*VLOOKUP('Données projet'!$B$10,Paramètres!$A$1:$I$89,3,0)*VLOOKUP('Données projet'!$B$10,Paramètres!$A$1:$I$89,5,0)</f>
        <v>-3.0593128030886874E-14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150.9416300233616</v>
      </c>
      <c r="AO133" s="59">
        <f t="shared" ref="AO133:AO196" si="144">$AO$3</f>
        <v>92.286636088269972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36.71201040952738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36.71201040952738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-2.8421709430404007E-14</v>
      </c>
      <c r="BE133" s="13">
        <f>BD133*VLOOKUP('Données projet'!$B$11,Paramètres!$A$1:$I$89,3,0)*VLOOKUP('Données projet'!$B$11,Paramètres!$A$1:$I$89,5,0)</f>
        <v>-2.7489477361086758E-14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131.02416800340484</v>
      </c>
      <c r="BJ133" s="59">
        <f t="shared" ref="BJ133:BJ196" si="146">$BJ$3</f>
        <v>79.394119001888555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32.987603556386929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32.987603556386929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-2.8421709430404007E-14</v>
      </c>
      <c r="BZ133" s="13">
        <f>BY133*VLOOKUP('Données projet'!$B$12,Paramètres!$A$1:$I$89,3,0)*VLOOKUP('Données projet'!$B$12,Paramètres!$A$1:$I$89,5,0)</f>
        <v>-2.5715962692629544E-14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119.62076457560073</v>
      </c>
      <c r="CE133" s="59">
        <f t="shared" ref="CE133:CE196" si="148">$CE$3</f>
        <v>72.011647893875363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30.85937106887808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30.85937106887808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-2.8421709430404007E-14</v>
      </c>
      <c r="CU133" s="17">
        <f>CT133*VLOOKUP('Données projet'!$B$13,Paramètres!$A$1:$I$89,3,0)*VLOOKUP('Données projet'!$B$13,Paramètres!$A$1:$I$89,5,0)</f>
        <v>-3.0593128030886874E-14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150.9416300233616</v>
      </c>
      <c r="CZ133" s="59">
        <f t="shared" ref="CZ133:CZ196" si="150">$CZ$3</f>
        <v>92.286636088269972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36.71201040952738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36.71201040952738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439.99999999999943</v>
      </c>
      <c r="DP133" s="17">
        <f>DO133*VLOOKUP('Données projet'!$B$14,Paramètres!$A$1:$I$89,3,0)*VLOOKUP('Données projet'!$B$14,Paramètres!$A$1:$I$89,5,0)</f>
        <v>263.11999999999966</v>
      </c>
      <c r="DQ133" s="13">
        <f t="shared" ref="DQ133:DQ153" si="151">EXP(-1.0587+0.8836*LN(DP133)+0.284)</f>
        <v>63.386973458751953</v>
      </c>
      <c r="DR133" s="20">
        <f t="shared" si="124"/>
        <v>568.66631210732578</v>
      </c>
      <c r="DS133" s="59">
        <f t="shared" si="125"/>
        <v>861.99964544065915</v>
      </c>
      <c r="DT133" s="59">
        <f ca="1">AVERAGE(OFFSET($DS$3,0,0,'Données projet'!$E$14+1,1))-AVERAGE(OFFSET($H$3,0,0,'Données projet'!$E$14+1,1))</f>
        <v>249.22792522076639</v>
      </c>
      <c r="DU133" s="59">
        <f t="shared" ref="DU133:DU196" si="152">$DU$3</f>
        <v>244.53725944480669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14.561782736911304</v>
      </c>
      <c r="EB133" s="21">
        <f>EXP(-LN(2)/25)*EB132+(1-EXP(-LN(2)/25))/(LN(2)/25)*Calculateur!DW133*Calculateur!DY133*VLOOKUP('Données projet'!$B$14,Paramètres!$A$1:$I$89,3,0)*0.475*44/12</f>
        <v>3.1930024101475829</v>
      </c>
      <c r="EC133" s="21">
        <f>EXP(-LN(2)/2)*EC132+(1-EXP(-LN(2)/2))/(LN(2)/2)*DW133*DZ133*VLOOKUP('Données projet'!$B$14,Paramètres!$A$1:$I$89,3,0)*0.475*44/12</f>
        <v>1.7267172667137825E-9</v>
      </c>
      <c r="ED133" s="22">
        <f t="shared" si="126"/>
        <v>17.754785148785604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2.2737367544323206E-13</v>
      </c>
      <c r="EK133" s="17">
        <f>EJ133*VLOOKUP('Données projet'!$B$15,Paramètres!$A$1:$I$89,3,0)*VLOOKUP('Données projet'!$B$15,Paramètres!$A$1:$I$89,5,0)</f>
        <v>1.2710188457276673E-13</v>
      </c>
      <c r="EL133" s="13">
        <f t="shared" ref="EL133:EL153" si="153">EXP(-1.0587+0.8836*LN(EK133)+0.284)</f>
        <v>1.856866851063998E-12</v>
      </c>
      <c r="EM133" s="20">
        <f t="shared" si="127"/>
        <v>3.4554122145673649E-12</v>
      </c>
      <c r="EN133" s="59">
        <f t="shared" si="128"/>
        <v>293.33333333333678</v>
      </c>
      <c r="EO133" s="59">
        <f ca="1">AVERAGE(OFFSET($EN$3,0,0,'Données projet'!$E$15+1,1))-AVERAGE(OFFSET($H$3,0,0,'Données projet'!$E$15+1,1))</f>
        <v>313.36787814924116</v>
      </c>
      <c r="EP133" s="59">
        <f t="shared" ref="EP133:EP196" si="154">$EP$3</f>
        <v>438.72984487610216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60.65223348490148</v>
      </c>
      <c r="EW133" s="21">
        <f>EXP(-LN(2)/25)*EW132+(1-EXP(-LN(2)/25))/(LN(2)/25)*Calculateur!ER133*Calculateur!ET133*VLOOKUP('Données projet'!$B$15,Paramètres!$A$1:$I$89,3,0)*0.475*44/12</f>
        <v>6.7971862750729235</v>
      </c>
      <c r="EX133" s="21">
        <f>EXP(-LN(2)/2)*EX132+(1-EXP(-LN(2)/2))/(LN(2)/2)*ER133*EU133*VLOOKUP('Données projet'!$B$15,Paramètres!$A$1:$I$89,3,0)*0.475*44/12</f>
        <v>3.4495812544200745E-11</v>
      </c>
      <c r="EY133" s="22">
        <f t="shared" si="129"/>
        <v>67.449419760008894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-5.6843418860808015E-14</v>
      </c>
      <c r="O134" s="13">
        <f>N134*VLOOKUP('Données projet'!$B$9,Paramètres!$A$1:$I$89,3,0)*VLOOKUP('Données projet'!$B$9,Paramètres!$A$1:$I$89,5,0)</f>
        <v>-5.1431925385259088E-14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173.91998182168385</v>
      </c>
      <c r="T134" s="59">
        <f t="shared" si="142"/>
        <v>72.011647893875363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74.041459592207417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74.041459592207417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-2.8421709430404007E-14</v>
      </c>
      <c r="AJ134" s="13">
        <f>AI134*VLOOKUP('Données projet'!$B$10,Paramètres!$A$1:$I$89,3,0)*VLOOKUP('Données projet'!$B$10,Paramètres!$A$1:$I$89,5,0)</f>
        <v>-3.0593128030886874E-14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150.9416300233616</v>
      </c>
      <c r="AO134" s="59">
        <f t="shared" si="144"/>
        <v>92.286636088269972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35.992110277511863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35.992110277511863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-2.8421709430404007E-14</v>
      </c>
      <c r="BE134" s="13">
        <f>BD134*VLOOKUP('Données projet'!$B$11,Paramètres!$A$1:$I$89,3,0)*VLOOKUP('Données projet'!$B$11,Paramètres!$A$1:$I$89,5,0)</f>
        <v>-2.7489477361086758E-14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131.02416800340484</v>
      </c>
      <c r="BJ134" s="59">
        <f t="shared" si="146"/>
        <v>79.394119001888555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32.340736771097625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32.340736771097625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-2.8421709430404007E-14</v>
      </c>
      <c r="BZ134" s="13">
        <f>BY134*VLOOKUP('Données projet'!$B$12,Paramètres!$A$1:$I$89,3,0)*VLOOKUP('Données projet'!$B$12,Paramètres!$A$1:$I$89,5,0)</f>
        <v>-2.5715962692629544E-14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119.62076457560073</v>
      </c>
      <c r="CE134" s="59">
        <f t="shared" si="148"/>
        <v>72.011647893875363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30.254237624575179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30.254237624575179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-2.8421709430404007E-14</v>
      </c>
      <c r="CU134" s="17">
        <f>CT134*VLOOKUP('Données projet'!$B$13,Paramètres!$A$1:$I$89,3,0)*VLOOKUP('Données projet'!$B$13,Paramètres!$A$1:$I$89,5,0)</f>
        <v>-3.0593128030886874E-14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150.9416300233616</v>
      </c>
      <c r="CZ134" s="59">
        <f t="shared" si="150"/>
        <v>92.286636088269972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35.992110277511863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35.992110277511863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439.99999999999943</v>
      </c>
      <c r="DP134" s="17">
        <f>DO134*VLOOKUP('Données projet'!$B$14,Paramètres!$A$1:$I$89,3,0)*VLOOKUP('Données projet'!$B$14,Paramètres!$A$1:$I$89,5,0)</f>
        <v>263.11999999999966</v>
      </c>
      <c r="DQ134" s="13">
        <f t="shared" si="151"/>
        <v>63.386973458751953</v>
      </c>
      <c r="DR134" s="20">
        <f t="shared" si="124"/>
        <v>568.66631210732578</v>
      </c>
      <c r="DS134" s="59">
        <f t="shared" si="125"/>
        <v>861.99964544065915</v>
      </c>
      <c r="DT134" s="59">
        <f ca="1">AVERAGE(OFFSET($DS$3,0,0,'Données projet'!$E$14+1,1))-AVERAGE(OFFSET($H$3,0,0,'Données projet'!$E$14+1,1))</f>
        <v>249.22792522076639</v>
      </c>
      <c r="DU134" s="59">
        <f t="shared" si="152"/>
        <v>244.53725944480669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14.276235059250938</v>
      </c>
      <c r="EB134" s="21">
        <f>EXP(-LN(2)/25)*EB133+(1-EXP(-LN(2)/25))/(LN(2)/25)*Calculateur!DW134*Calculateur!DY134*VLOOKUP('Données projet'!$B$14,Paramètres!$A$1:$I$89,3,0)*0.475*44/12</f>
        <v>3.1056895913293983</v>
      </c>
      <c r="EC134" s="21">
        <f>EXP(-LN(2)/2)*EC133+(1-EXP(-LN(2)/2))/(LN(2)/2)*DW134*DZ134*VLOOKUP('Données projet'!$B$14,Paramètres!$A$1:$I$89,3,0)*0.475*44/12</f>
        <v>1.220973488485216E-9</v>
      </c>
      <c r="ED134" s="22">
        <f t="shared" si="126"/>
        <v>17.38192465180131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2.2737367544323206E-13</v>
      </c>
      <c r="EK134" s="17">
        <f>EJ134*VLOOKUP('Données projet'!$B$15,Paramètres!$A$1:$I$89,3,0)*VLOOKUP('Données projet'!$B$15,Paramètres!$A$1:$I$89,5,0)</f>
        <v>1.2710188457276673E-13</v>
      </c>
      <c r="EL134" s="13">
        <f t="shared" si="153"/>
        <v>1.856866851063998E-12</v>
      </c>
      <c r="EM134" s="20">
        <f t="shared" si="127"/>
        <v>3.4554122145673649E-12</v>
      </c>
      <c r="EN134" s="59">
        <f t="shared" si="128"/>
        <v>293.33333333333678</v>
      </c>
      <c r="EO134" s="59">
        <f ca="1">AVERAGE(OFFSET($EN$3,0,0,'Données projet'!$E$15+1,1))-AVERAGE(OFFSET($H$3,0,0,'Données projet'!$E$15+1,1))</f>
        <v>313.36787814924116</v>
      </c>
      <c r="EP134" s="59">
        <f t="shared" si="154"/>
        <v>438.72984487610216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59.462880180472112</v>
      </c>
      <c r="EW134" s="21">
        <f>EXP(-LN(2)/25)*EW133+(1-EXP(-LN(2)/25))/(LN(2)/25)*Calculateur!ER134*Calculateur!ET134*VLOOKUP('Données projet'!$B$15,Paramètres!$A$1:$I$89,3,0)*0.475*44/12</f>
        <v>6.6113168589325637</v>
      </c>
      <c r="EX134" s="21">
        <f>EXP(-LN(2)/2)*EX133+(1-EXP(-LN(2)/2))/(LN(2)/2)*ER134*EU134*VLOOKUP('Données projet'!$B$15,Paramètres!$A$1:$I$89,3,0)*0.475*44/12</f>
        <v>2.4392222972544318E-11</v>
      </c>
      <c r="EY134" s="22">
        <f t="shared" si="129"/>
        <v>66.074197039429066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-5.6843418860808015E-14</v>
      </c>
      <c r="O135" s="13">
        <f>N135*VLOOKUP('Données projet'!$B$9,Paramètres!$A$1:$I$89,3,0)*VLOOKUP('Données projet'!$B$9,Paramètres!$A$1:$I$89,5,0)</f>
        <v>-5.1431925385259088E-14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173.91998182168385</v>
      </c>
      <c r="T135" s="59">
        <f t="shared" si="142"/>
        <v>72.011647893875363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72.589551730435318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72.589551730435318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-2.8421709430404007E-14</v>
      </c>
      <c r="AJ135" s="13">
        <f>AI135*VLOOKUP('Données projet'!$B$10,Paramètres!$A$1:$I$89,3,0)*VLOOKUP('Données projet'!$B$10,Paramètres!$A$1:$I$89,5,0)</f>
        <v>-3.0593128030886874E-14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150.9416300233616</v>
      </c>
      <c r="AO135" s="59">
        <f t="shared" si="144"/>
        <v>92.286636088269972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35.286326947989444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35.286326947989444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-2.8421709430404007E-14</v>
      </c>
      <c r="BE135" s="13">
        <f>BD135*VLOOKUP('Données projet'!$B$11,Paramètres!$A$1:$I$89,3,0)*VLOOKUP('Données projet'!$B$11,Paramètres!$A$1:$I$89,5,0)</f>
        <v>-2.7489477361086758E-14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131.02416800340484</v>
      </c>
      <c r="BJ135" s="59">
        <f t="shared" si="146"/>
        <v>79.394119001888555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31.706554648918061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31.706554648918061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-2.8421709430404007E-14</v>
      </c>
      <c r="BZ135" s="13">
        <f>BY135*VLOOKUP('Données projet'!$B$12,Paramètres!$A$1:$I$89,3,0)*VLOOKUP('Données projet'!$B$12,Paramètres!$A$1:$I$89,5,0)</f>
        <v>-2.5715962692629544E-14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119.62076457560073</v>
      </c>
      <c r="CE135" s="59">
        <f t="shared" si="148"/>
        <v>72.011647893875363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29.660970478020101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29.660970478020101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-2.8421709430404007E-14</v>
      </c>
      <c r="CU135" s="17">
        <f>CT135*VLOOKUP('Données projet'!$B$13,Paramètres!$A$1:$I$89,3,0)*VLOOKUP('Données projet'!$B$13,Paramètres!$A$1:$I$89,5,0)</f>
        <v>-3.0593128030886874E-14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150.9416300233616</v>
      </c>
      <c r="CZ135" s="59">
        <f t="shared" si="150"/>
        <v>92.286636088269972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35.286326947989444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35.286326947989444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439.99999999999943</v>
      </c>
      <c r="DP135" s="17">
        <f>DO135*VLOOKUP('Données projet'!$B$14,Paramètres!$A$1:$I$89,3,0)*VLOOKUP('Données projet'!$B$14,Paramètres!$A$1:$I$89,5,0)</f>
        <v>263.11999999999966</v>
      </c>
      <c r="DQ135" s="13">
        <f t="shared" si="151"/>
        <v>63.386973458751953</v>
      </c>
      <c r="DR135" s="20">
        <f t="shared" si="124"/>
        <v>568.66631210732578</v>
      </c>
      <c r="DS135" s="59">
        <f t="shared" si="125"/>
        <v>861.99964544065915</v>
      </c>
      <c r="DT135" s="59">
        <f ca="1">AVERAGE(OFFSET($DS$3,0,0,'Données projet'!$E$14+1,1))-AVERAGE(OFFSET($H$3,0,0,'Données projet'!$E$14+1,1))</f>
        <v>249.22792522076639</v>
      </c>
      <c r="DU135" s="59">
        <f t="shared" si="152"/>
        <v>244.53725944480669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13.996286797382606</v>
      </c>
      <c r="EB135" s="21">
        <f>EXP(-LN(2)/25)*EB134+(1-EXP(-LN(2)/25))/(LN(2)/25)*Calculateur!DW135*Calculateur!DY135*VLOOKUP('Données projet'!$B$14,Paramètres!$A$1:$I$89,3,0)*0.475*44/12</f>
        <v>3.0207643461333782</v>
      </c>
      <c r="EC135" s="21">
        <f>EXP(-LN(2)/2)*EC134+(1-EXP(-LN(2)/2))/(LN(2)/2)*DW135*DZ135*VLOOKUP('Données projet'!$B$14,Paramètres!$A$1:$I$89,3,0)*0.475*44/12</f>
        <v>8.6335863335689125E-10</v>
      </c>
      <c r="ED135" s="22">
        <f t="shared" si="126"/>
        <v>17.017051144379344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2.2737367544323206E-13</v>
      </c>
      <c r="EK135" s="17">
        <f>EJ135*VLOOKUP('Données projet'!$B$15,Paramètres!$A$1:$I$89,3,0)*VLOOKUP('Données projet'!$B$15,Paramètres!$A$1:$I$89,5,0)</f>
        <v>1.2710188457276673E-13</v>
      </c>
      <c r="EL135" s="13">
        <f t="shared" si="153"/>
        <v>1.856866851063998E-12</v>
      </c>
      <c r="EM135" s="20">
        <f t="shared" si="127"/>
        <v>3.4554122145673649E-12</v>
      </c>
      <c r="EN135" s="59">
        <f t="shared" si="128"/>
        <v>293.33333333333678</v>
      </c>
      <c r="EO135" s="59">
        <f ca="1">AVERAGE(OFFSET($EN$3,0,0,'Données projet'!$E$15+1,1))-AVERAGE(OFFSET($H$3,0,0,'Données projet'!$E$15+1,1))</f>
        <v>313.36787814924116</v>
      </c>
      <c r="EP135" s="59">
        <f t="shared" si="154"/>
        <v>438.72984487610216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58.296849368908717</v>
      </c>
      <c r="EW135" s="21">
        <f>EXP(-LN(2)/25)*EW134+(1-EXP(-LN(2)/25))/(LN(2)/25)*Calculateur!ER135*Calculateur!ET135*VLOOKUP('Données projet'!$B$15,Paramètres!$A$1:$I$89,3,0)*0.475*44/12</f>
        <v>6.4305300517510098</v>
      </c>
      <c r="EX135" s="21">
        <f>EXP(-LN(2)/2)*EX134+(1-EXP(-LN(2)/2))/(LN(2)/2)*ER135*EU135*VLOOKUP('Données projet'!$B$15,Paramètres!$A$1:$I$89,3,0)*0.475*44/12</f>
        <v>1.7247906272100373E-11</v>
      </c>
      <c r="EY135" s="22">
        <f t="shared" si="129"/>
        <v>64.727379420676982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-5.6843418860808015E-14</v>
      </c>
      <c r="O136" s="13">
        <f>N136*VLOOKUP('Données projet'!$B$9,Paramètres!$A$1:$I$89,3,0)*VLOOKUP('Données projet'!$B$9,Paramètres!$A$1:$I$89,5,0)</f>
        <v>-5.1431925385259088E-14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173.91998182168385</v>
      </c>
      <c r="T136" s="59">
        <f t="shared" si="142"/>
        <v>72.011647893875363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71.166114896256218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71.166114896256218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-2.8421709430404007E-14</v>
      </c>
      <c r="AJ136" s="13">
        <f>AI136*VLOOKUP('Données projet'!$B$10,Paramètres!$A$1:$I$89,3,0)*VLOOKUP('Données projet'!$B$10,Paramètres!$A$1:$I$89,5,0)</f>
        <v>-3.0593128030886874E-14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150.9416300233616</v>
      </c>
      <c r="AO136" s="59">
        <f t="shared" si="144"/>
        <v>92.286636088269972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34.594383599073637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34.594383599073637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-2.8421709430404007E-14</v>
      </c>
      <c r="BE136" s="13">
        <f>BD136*VLOOKUP('Données projet'!$B$11,Paramètres!$A$1:$I$89,3,0)*VLOOKUP('Données projet'!$B$11,Paramètres!$A$1:$I$89,5,0)</f>
        <v>-2.7489477361086758E-14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131.02416800340484</v>
      </c>
      <c r="BJ136" s="59">
        <f t="shared" si="146"/>
        <v>79.394119001888555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31.084808451341537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31.084808451341537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-2.8421709430404007E-14</v>
      </c>
      <c r="BZ136" s="13">
        <f>BY136*VLOOKUP('Données projet'!$B$12,Paramètres!$A$1:$I$89,3,0)*VLOOKUP('Données projet'!$B$12,Paramètres!$A$1:$I$89,5,0)</f>
        <v>-2.5715962692629544E-14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119.62076457560073</v>
      </c>
      <c r="CE136" s="59">
        <f t="shared" si="148"/>
        <v>72.011647893875363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29.079336938351741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29.079336938351741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-2.8421709430404007E-14</v>
      </c>
      <c r="CU136" s="17">
        <f>CT136*VLOOKUP('Données projet'!$B$13,Paramètres!$A$1:$I$89,3,0)*VLOOKUP('Données projet'!$B$13,Paramètres!$A$1:$I$89,5,0)</f>
        <v>-3.0593128030886874E-14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150.9416300233616</v>
      </c>
      <c r="CZ136" s="59">
        <f t="shared" si="150"/>
        <v>92.286636088269972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34.594383599073637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34.594383599073637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439.99999999999943</v>
      </c>
      <c r="DP136" s="17">
        <f>DO136*VLOOKUP('Données projet'!$B$14,Paramètres!$A$1:$I$89,3,0)*VLOOKUP('Données projet'!$B$14,Paramètres!$A$1:$I$89,5,0)</f>
        <v>263.11999999999966</v>
      </c>
      <c r="DQ136" s="13">
        <f t="shared" si="151"/>
        <v>63.386973458751953</v>
      </c>
      <c r="DR136" s="20">
        <f t="shared" si="124"/>
        <v>568.66631210732578</v>
      </c>
      <c r="DS136" s="59">
        <f t="shared" si="125"/>
        <v>861.99964544065915</v>
      </c>
      <c r="DT136" s="59">
        <f ca="1">AVERAGE(OFFSET($DS$3,0,0,'Données projet'!$E$14+1,1))-AVERAGE(OFFSET($H$3,0,0,'Données projet'!$E$14+1,1))</f>
        <v>249.22792522076639</v>
      </c>
      <c r="DU136" s="59">
        <f t="shared" si="152"/>
        <v>244.53725944480669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13.721828150177931</v>
      </c>
      <c r="EB136" s="21">
        <f>EXP(-LN(2)/25)*EB135+(1-EXP(-LN(2)/25))/(LN(2)/25)*Calculateur!DW136*Calculateur!DY136*VLOOKUP('Données projet'!$B$14,Paramètres!$A$1:$I$89,3,0)*0.475*44/12</f>
        <v>2.9381613862332681</v>
      </c>
      <c r="EC136" s="21">
        <f>EXP(-LN(2)/2)*EC135+(1-EXP(-LN(2)/2))/(LN(2)/2)*DW136*DZ136*VLOOKUP('Données projet'!$B$14,Paramètres!$A$1:$I$89,3,0)*0.475*44/12</f>
        <v>6.10486744242608E-10</v>
      </c>
      <c r="ED136" s="22">
        <f t="shared" si="126"/>
        <v>16.659989537021687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2.2737367544323206E-13</v>
      </c>
      <c r="EK136" s="17">
        <f>EJ136*VLOOKUP('Données projet'!$B$15,Paramètres!$A$1:$I$89,3,0)*VLOOKUP('Données projet'!$B$15,Paramètres!$A$1:$I$89,5,0)</f>
        <v>1.2710188457276673E-13</v>
      </c>
      <c r="EL136" s="13">
        <f t="shared" si="153"/>
        <v>1.856866851063998E-12</v>
      </c>
      <c r="EM136" s="20">
        <f t="shared" si="127"/>
        <v>3.4554122145673649E-12</v>
      </c>
      <c r="EN136" s="59">
        <f t="shared" si="128"/>
        <v>293.33333333333678</v>
      </c>
      <c r="EO136" s="59">
        <f ca="1">AVERAGE(OFFSET($EN$3,0,0,'Données projet'!$E$15+1,1))-AVERAGE(OFFSET($H$3,0,0,'Données projet'!$E$15+1,1))</f>
        <v>313.36787814924116</v>
      </c>
      <c r="EP136" s="59">
        <f t="shared" si="154"/>
        <v>438.72984487610216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57.153683710351515</v>
      </c>
      <c r="EW136" s="21">
        <f>EXP(-LN(2)/25)*EW135+(1-EXP(-LN(2)/25))/(LN(2)/25)*Calculateur!ER136*Calculateur!ET136*VLOOKUP('Données projet'!$B$15,Paramètres!$A$1:$I$89,3,0)*0.475*44/12</f>
        <v>6.2546868693190003</v>
      </c>
      <c r="EX136" s="21">
        <f>EXP(-LN(2)/2)*EX135+(1-EXP(-LN(2)/2))/(LN(2)/2)*ER136*EU136*VLOOKUP('Données projet'!$B$15,Paramètres!$A$1:$I$89,3,0)*0.475*44/12</f>
        <v>1.2196111486272159E-11</v>
      </c>
      <c r="EY136" s="22">
        <f t="shared" si="129"/>
        <v>63.40837057968271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-5.6843418860808015E-14</v>
      </c>
      <c r="O137" s="13">
        <f>N137*VLOOKUP('Données projet'!$B$9,Paramètres!$A$1:$I$89,3,0)*VLOOKUP('Données projet'!$B$9,Paramètres!$A$1:$I$89,5,0)</f>
        <v>-5.1431925385259088E-14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173.91998182168385</v>
      </c>
      <c r="T137" s="59">
        <f t="shared" si="142"/>
        <v>72.011647893875363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69.770590790184627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69.770590790184627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-2.8421709430404007E-14</v>
      </c>
      <c r="AJ137" s="13">
        <f>AI137*VLOOKUP('Données projet'!$B$10,Paramètres!$A$1:$I$89,3,0)*VLOOKUP('Données projet'!$B$10,Paramètres!$A$1:$I$89,5,0)</f>
        <v>-3.0593128030886874E-14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150.9416300233616</v>
      </c>
      <c r="AO137" s="59">
        <f t="shared" si="144"/>
        <v>92.286636088269972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33.916008837186297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33.916008837186297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-2.8421709430404007E-14</v>
      </c>
      <c r="BE137" s="13">
        <f>BD137*VLOOKUP('Données projet'!$B$11,Paramètres!$A$1:$I$89,3,0)*VLOOKUP('Données projet'!$B$11,Paramètres!$A$1:$I$89,5,0)</f>
        <v>-2.7489477361086758E-14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131.02416800340484</v>
      </c>
      <c r="BJ137" s="59">
        <f t="shared" si="146"/>
        <v>79.394119001888555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30.475254317471755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30.475254317471755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-2.8421709430404007E-14</v>
      </c>
      <c r="BZ137" s="13">
        <f>BY137*VLOOKUP('Données projet'!$B$12,Paramètres!$A$1:$I$89,3,0)*VLOOKUP('Données projet'!$B$12,Paramètres!$A$1:$I$89,5,0)</f>
        <v>-2.5715962692629544E-14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119.62076457560073</v>
      </c>
      <c r="CE137" s="59">
        <f t="shared" si="148"/>
        <v>72.011647893875363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28.509108877634848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28.509108877634848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-2.8421709430404007E-14</v>
      </c>
      <c r="CU137" s="17">
        <f>CT137*VLOOKUP('Données projet'!$B$13,Paramètres!$A$1:$I$89,3,0)*VLOOKUP('Données projet'!$B$13,Paramètres!$A$1:$I$89,5,0)</f>
        <v>-3.0593128030886874E-14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150.9416300233616</v>
      </c>
      <c r="CZ137" s="59">
        <f t="shared" si="150"/>
        <v>92.286636088269972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33.916008837186297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33.916008837186297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439.99999999999943</v>
      </c>
      <c r="DP137" s="17">
        <f>DO137*VLOOKUP('Données projet'!$B$14,Paramètres!$A$1:$I$89,3,0)*VLOOKUP('Données projet'!$B$14,Paramètres!$A$1:$I$89,5,0)</f>
        <v>263.11999999999966</v>
      </c>
      <c r="DQ137" s="13">
        <f t="shared" si="151"/>
        <v>63.386973458751953</v>
      </c>
      <c r="DR137" s="20">
        <f t="shared" si="124"/>
        <v>568.66631210732578</v>
      </c>
      <c r="DS137" s="59">
        <f t="shared" si="125"/>
        <v>861.99964544065915</v>
      </c>
      <c r="DT137" s="59">
        <f ca="1">AVERAGE(OFFSET($DS$3,0,0,'Données projet'!$E$14+1,1))-AVERAGE(OFFSET($H$3,0,0,'Données projet'!$E$14+1,1))</f>
        <v>249.22792522076639</v>
      </c>
      <c r="DU137" s="59">
        <f t="shared" si="152"/>
        <v>244.53725944480669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13.452751469641695</v>
      </c>
      <c r="EB137" s="21">
        <f>EXP(-LN(2)/25)*EB136+(1-EXP(-LN(2)/25))/(LN(2)/25)*Calculateur!DW137*Calculateur!DY137*VLOOKUP('Données projet'!$B$14,Paramètres!$A$1:$I$89,3,0)*0.475*44/12</f>
        <v>2.8578172086155273</v>
      </c>
      <c r="EC137" s="21">
        <f>EXP(-LN(2)/2)*EC136+(1-EXP(-LN(2)/2))/(LN(2)/2)*DW137*DZ137*VLOOKUP('Données projet'!$B$14,Paramètres!$A$1:$I$89,3,0)*0.475*44/12</f>
        <v>4.3167931667844562E-10</v>
      </c>
      <c r="ED137" s="22">
        <f t="shared" si="126"/>
        <v>16.310568678688902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2.2737367544323206E-13</v>
      </c>
      <c r="EK137" s="17">
        <f>EJ137*VLOOKUP('Données projet'!$B$15,Paramètres!$A$1:$I$89,3,0)*VLOOKUP('Données projet'!$B$15,Paramètres!$A$1:$I$89,5,0)</f>
        <v>1.2710188457276673E-13</v>
      </c>
      <c r="EL137" s="13">
        <f t="shared" si="153"/>
        <v>1.856866851063998E-12</v>
      </c>
      <c r="EM137" s="20">
        <f t="shared" si="127"/>
        <v>3.4554122145673649E-12</v>
      </c>
      <c r="EN137" s="59">
        <f t="shared" si="128"/>
        <v>293.33333333333678</v>
      </c>
      <c r="EO137" s="59">
        <f ca="1">AVERAGE(OFFSET($EN$3,0,0,'Données projet'!$E$15+1,1))-AVERAGE(OFFSET($H$3,0,0,'Données projet'!$E$15+1,1))</f>
        <v>313.36787814924116</v>
      </c>
      <c r="EP137" s="59">
        <f t="shared" si="154"/>
        <v>438.72984487610216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56.032934833096419</v>
      </c>
      <c r="EW137" s="21">
        <f>EXP(-LN(2)/25)*EW136+(1-EXP(-LN(2)/25))/(LN(2)/25)*Calculateur!ER137*Calculateur!ET137*VLOOKUP('Données projet'!$B$15,Paramètres!$A$1:$I$89,3,0)*0.475*44/12</f>
        <v>6.0836521279577846</v>
      </c>
      <c r="EX137" s="21">
        <f>EXP(-LN(2)/2)*EX136+(1-EXP(-LN(2)/2))/(LN(2)/2)*ER137*EU137*VLOOKUP('Données projet'!$B$15,Paramètres!$A$1:$I$89,3,0)*0.475*44/12</f>
        <v>8.6239531360501863E-12</v>
      </c>
      <c r="EY137" s="22">
        <f t="shared" si="129"/>
        <v>62.116586961062829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-5.6843418860808015E-14</v>
      </c>
      <c r="O138" s="13">
        <f>N138*VLOOKUP('Données projet'!$B$9,Paramètres!$A$1:$I$89,3,0)*VLOOKUP('Données projet'!$B$9,Paramètres!$A$1:$I$89,5,0)</f>
        <v>-5.1431925385259088E-14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173.91998182168385</v>
      </c>
      <c r="T138" s="59">
        <f t="shared" si="142"/>
        <v>72.011647893875363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68.402432060647442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68.402432060647442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-2.8421709430404007E-14</v>
      </c>
      <c r="AJ138" s="13">
        <f>AI138*VLOOKUP('Données projet'!$B$10,Paramètres!$A$1:$I$89,3,0)*VLOOKUP('Données projet'!$B$10,Paramètres!$A$1:$I$89,5,0)</f>
        <v>-3.0593128030886874E-14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150.9416300233616</v>
      </c>
      <c r="AO138" s="59">
        <f t="shared" si="144"/>
        <v>92.286636088269972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33.250936590611822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33.250936590611822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-2.8421709430404007E-14</v>
      </c>
      <c r="BE138" s="13">
        <f>BD138*VLOOKUP('Données projet'!$B$11,Paramètres!$A$1:$I$89,3,0)*VLOOKUP('Données projet'!$B$11,Paramètres!$A$1:$I$89,5,0)</f>
        <v>-2.7489477361086758E-14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131.02416800340484</v>
      </c>
      <c r="BJ138" s="59">
        <f t="shared" si="146"/>
        <v>79.394119001888555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29.877653168375847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29.877653168375847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-2.8421709430404007E-14</v>
      </c>
      <c r="BZ138" s="13">
        <f>BY138*VLOOKUP('Données projet'!$B$12,Paramètres!$A$1:$I$89,3,0)*VLOOKUP('Données projet'!$B$12,Paramètres!$A$1:$I$89,5,0)</f>
        <v>-2.5715962692629544E-14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119.62076457560073</v>
      </c>
      <c r="CE138" s="59">
        <f t="shared" si="148"/>
        <v>72.011647893875363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27.950062641383838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27.950062641383838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-2.8421709430404007E-14</v>
      </c>
      <c r="CU138" s="17">
        <f>CT138*VLOOKUP('Données projet'!$B$13,Paramètres!$A$1:$I$89,3,0)*VLOOKUP('Données projet'!$B$13,Paramètres!$A$1:$I$89,5,0)</f>
        <v>-3.0593128030886874E-14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150.9416300233616</v>
      </c>
      <c r="CZ138" s="59">
        <f t="shared" si="150"/>
        <v>92.286636088269972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33.250936590611822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33.250936590611822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439.99999999999943</v>
      </c>
      <c r="DP138" s="17">
        <f>DO138*VLOOKUP('Données projet'!$B$14,Paramètres!$A$1:$I$89,3,0)*VLOOKUP('Données projet'!$B$14,Paramètres!$A$1:$I$89,5,0)</f>
        <v>263.11999999999966</v>
      </c>
      <c r="DQ138" s="13">
        <f t="shared" si="151"/>
        <v>63.386973458751953</v>
      </c>
      <c r="DR138" s="20">
        <f t="shared" si="124"/>
        <v>568.66631210732578</v>
      </c>
      <c r="DS138" s="59">
        <f t="shared" si="125"/>
        <v>861.99964544065915</v>
      </c>
      <c r="DT138" s="59">
        <f ca="1">AVERAGE(OFFSET($DS$3,0,0,'Données projet'!$E$14+1,1))-AVERAGE(OFFSET($H$3,0,0,'Données projet'!$E$14+1,1))</f>
        <v>249.22792522076639</v>
      </c>
      <c r="DU138" s="59">
        <f t="shared" si="152"/>
        <v>244.53725944480669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13.188951218690205</v>
      </c>
      <c r="EB138" s="21">
        <f>EXP(-LN(2)/25)*EB137+(1-EXP(-LN(2)/25))/(LN(2)/25)*Calculateur!DW138*Calculateur!DY138*VLOOKUP('Données projet'!$B$14,Paramètres!$A$1:$I$89,3,0)*0.475*44/12</f>
        <v>2.7796700467598603</v>
      </c>
      <c r="EC138" s="21">
        <f>EXP(-LN(2)/2)*EC137+(1-EXP(-LN(2)/2))/(LN(2)/2)*DW138*DZ138*VLOOKUP('Données projet'!$B$14,Paramètres!$A$1:$I$89,3,0)*0.475*44/12</f>
        <v>3.05243372121304E-10</v>
      </c>
      <c r="ED138" s="22">
        <f t="shared" si="126"/>
        <v>15.968621265755308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2.2737367544323206E-13</v>
      </c>
      <c r="EK138" s="17">
        <f>EJ138*VLOOKUP('Données projet'!$B$15,Paramètres!$A$1:$I$89,3,0)*VLOOKUP('Données projet'!$B$15,Paramètres!$A$1:$I$89,5,0)</f>
        <v>1.2710188457276673E-13</v>
      </c>
      <c r="EL138" s="13">
        <f t="shared" si="153"/>
        <v>1.856866851063998E-12</v>
      </c>
      <c r="EM138" s="20">
        <f t="shared" si="127"/>
        <v>3.4554122145673649E-12</v>
      </c>
      <c r="EN138" s="59">
        <f t="shared" si="128"/>
        <v>293.33333333333678</v>
      </c>
      <c r="EO138" s="59">
        <f ca="1">AVERAGE(OFFSET($EN$3,0,0,'Données projet'!$E$15+1,1))-AVERAGE(OFFSET($H$3,0,0,'Données projet'!$E$15+1,1))</f>
        <v>313.36787814924116</v>
      </c>
      <c r="EP138" s="59">
        <f t="shared" si="154"/>
        <v>438.72984487610216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54.934163157734979</v>
      </c>
      <c r="EW138" s="21">
        <f>EXP(-LN(2)/25)*EW137+(1-EXP(-LN(2)/25))/(LN(2)/25)*Calculateur!ER138*Calculateur!ET138*VLOOKUP('Données projet'!$B$15,Paramètres!$A$1:$I$89,3,0)*0.475*44/12</f>
        <v>5.9172943405934184</v>
      </c>
      <c r="EX138" s="21">
        <f>EXP(-LN(2)/2)*EX137+(1-EXP(-LN(2)/2))/(LN(2)/2)*ER138*EU138*VLOOKUP('Données projet'!$B$15,Paramètres!$A$1:$I$89,3,0)*0.475*44/12</f>
        <v>6.0980557431360794E-12</v>
      </c>
      <c r="EY138" s="22">
        <f t="shared" si="129"/>
        <v>60.851457498334497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-5.6843418860808015E-14</v>
      </c>
      <c r="O139" s="13">
        <f>N139*VLOOKUP('Données projet'!$B$9,Paramètres!$A$1:$I$89,3,0)*VLOOKUP('Données projet'!$B$9,Paramètres!$A$1:$I$89,5,0)</f>
        <v>-5.1431925385259088E-14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173.91998182168385</v>
      </c>
      <c r="T139" s="59">
        <f t="shared" si="142"/>
        <v>72.011647893875363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67.061102089302054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67.061102089302054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-2.8421709430404007E-14</v>
      </c>
      <c r="AJ139" s="13">
        <f>AI139*VLOOKUP('Données projet'!$B$10,Paramètres!$A$1:$I$89,3,0)*VLOOKUP('Données projet'!$B$10,Paramètres!$A$1:$I$89,5,0)</f>
        <v>-3.0593128030886874E-14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150.9416300233616</v>
      </c>
      <c r="AO139" s="59">
        <f t="shared" si="144"/>
        <v>92.286636088269972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32.598906005138652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32.598906005138652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-2.8421709430404007E-14</v>
      </c>
      <c r="BE139" s="13">
        <f>BD139*VLOOKUP('Données projet'!$B$11,Paramètres!$A$1:$I$89,3,0)*VLOOKUP('Données projet'!$B$11,Paramètres!$A$1:$I$89,5,0)</f>
        <v>-2.7489477361086758E-14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131.02416800340484</v>
      </c>
      <c r="BJ139" s="59">
        <f t="shared" si="146"/>
        <v>79.394119001888555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29.291770613313002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29.291770613313002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-2.8421709430404007E-14</v>
      </c>
      <c r="BZ139" s="13">
        <f>BY139*VLOOKUP('Données projet'!$B$12,Paramètres!$A$1:$I$89,3,0)*VLOOKUP('Données projet'!$B$12,Paramètres!$A$1:$I$89,5,0)</f>
        <v>-2.5715962692629544E-14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119.62076457560073</v>
      </c>
      <c r="CE139" s="59">
        <f t="shared" si="148"/>
        <v>72.011647893875363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27.401978960841177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27.401978960841177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-2.8421709430404007E-14</v>
      </c>
      <c r="CU139" s="17">
        <f>CT139*VLOOKUP('Données projet'!$B$13,Paramètres!$A$1:$I$89,3,0)*VLOOKUP('Données projet'!$B$13,Paramètres!$A$1:$I$89,5,0)</f>
        <v>-3.0593128030886874E-14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150.9416300233616</v>
      </c>
      <c r="CZ139" s="59">
        <f t="shared" si="150"/>
        <v>92.286636088269972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32.598906005138652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32.598906005138652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439.99999999999943</v>
      </c>
      <c r="DP139" s="17">
        <f>DO139*VLOOKUP('Données projet'!$B$14,Paramètres!$A$1:$I$89,3,0)*VLOOKUP('Données projet'!$B$14,Paramètres!$A$1:$I$89,5,0)</f>
        <v>263.11999999999966</v>
      </c>
      <c r="DQ139" s="13">
        <f t="shared" si="151"/>
        <v>63.386973458751953</v>
      </c>
      <c r="DR139" s="20">
        <f t="shared" si="124"/>
        <v>568.66631210732578</v>
      </c>
      <c r="DS139" s="59">
        <f t="shared" si="125"/>
        <v>861.99964544065915</v>
      </c>
      <c r="DT139" s="59">
        <f ca="1">AVERAGE(OFFSET($DS$3,0,0,'Données projet'!$E$14+1,1))-AVERAGE(OFFSET($H$3,0,0,'Données projet'!$E$14+1,1))</f>
        <v>249.22792522076639</v>
      </c>
      <c r="DU139" s="59">
        <f t="shared" si="152"/>
        <v>244.53725944480669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12.930323929757609</v>
      </c>
      <c r="EB139" s="21">
        <f>EXP(-LN(2)/25)*EB138+(1-EXP(-LN(2)/25))/(LN(2)/25)*Calculateur!DW139*Calculateur!DY139*VLOOKUP('Données projet'!$B$14,Paramètres!$A$1:$I$89,3,0)*0.475*44/12</f>
        <v>2.7036598231547173</v>
      </c>
      <c r="EC139" s="21">
        <f>EXP(-LN(2)/2)*EC138+(1-EXP(-LN(2)/2))/(LN(2)/2)*DW139*DZ139*VLOOKUP('Données projet'!$B$14,Paramètres!$A$1:$I$89,3,0)*0.475*44/12</f>
        <v>2.1583965833922281E-10</v>
      </c>
      <c r="ED139" s="22">
        <f t="shared" si="126"/>
        <v>15.633983753128167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2.2737367544323206E-13</v>
      </c>
      <c r="EK139" s="17">
        <f>EJ139*VLOOKUP('Données projet'!$B$15,Paramètres!$A$1:$I$89,3,0)*VLOOKUP('Données projet'!$B$15,Paramètres!$A$1:$I$89,5,0)</f>
        <v>1.2710188457276673E-13</v>
      </c>
      <c r="EL139" s="13">
        <f t="shared" si="153"/>
        <v>1.856866851063998E-12</v>
      </c>
      <c r="EM139" s="20">
        <f t="shared" si="127"/>
        <v>3.4554122145673649E-12</v>
      </c>
      <c r="EN139" s="59">
        <f t="shared" si="128"/>
        <v>293.33333333333678</v>
      </c>
      <c r="EO139" s="59">
        <f ca="1">AVERAGE(OFFSET($EN$3,0,0,'Données projet'!$E$15+1,1))-AVERAGE(OFFSET($H$3,0,0,'Données projet'!$E$15+1,1))</f>
        <v>313.36787814924116</v>
      </c>
      <c r="EP139" s="59">
        <f t="shared" si="154"/>
        <v>438.72984487610216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53.856937724742828</v>
      </c>
      <c r="EW139" s="21">
        <f>EXP(-LN(2)/25)*EW138+(1-EXP(-LN(2)/25))/(LN(2)/25)*Calculateur!ER139*Calculateur!ET139*VLOOKUP('Données projet'!$B$15,Paramètres!$A$1:$I$89,3,0)*0.475*44/12</f>
        <v>5.7554856156729057</v>
      </c>
      <c r="EX139" s="21">
        <f>EXP(-LN(2)/2)*EX138+(1-EXP(-LN(2)/2))/(LN(2)/2)*ER139*EU139*VLOOKUP('Données projet'!$B$15,Paramètres!$A$1:$I$89,3,0)*0.475*44/12</f>
        <v>4.3119765680250931E-12</v>
      </c>
      <c r="EY139" s="22">
        <f t="shared" si="129"/>
        <v>59.612423340420044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-5.6843418860808015E-14</v>
      </c>
      <c r="O140" s="13">
        <f>N140*VLOOKUP('Données projet'!$B$9,Paramètres!$A$1:$I$89,3,0)*VLOOKUP('Données projet'!$B$9,Paramètres!$A$1:$I$89,5,0)</f>
        <v>-5.1431925385259088E-14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173.91998182168385</v>
      </c>
      <c r="T140" s="59">
        <f t="shared" si="142"/>
        <v>72.011647893875363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65.746074780564257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65.746074780564257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-2.8421709430404007E-14</v>
      </c>
      <c r="AJ140" s="13">
        <f>AI140*VLOOKUP('Données projet'!$B$10,Paramètres!$A$1:$I$89,3,0)*VLOOKUP('Données projet'!$B$10,Paramètres!$A$1:$I$89,5,0)</f>
        <v>-3.0593128030886874E-14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150.9416300233616</v>
      </c>
      <c r="AO140" s="59">
        <f t="shared" si="144"/>
        <v>92.286636088269972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31.959661341747225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31.959661341747225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-2.8421709430404007E-14</v>
      </c>
      <c r="BE140" s="13">
        <f>BD140*VLOOKUP('Données projet'!$B$11,Paramètres!$A$1:$I$89,3,0)*VLOOKUP('Données projet'!$B$11,Paramètres!$A$1:$I$89,5,0)</f>
        <v>-2.7489477361086758E-14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131.02416800340484</v>
      </c>
      <c r="BJ140" s="59">
        <f t="shared" si="146"/>
        <v>79.394119001888555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28.717376857801867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28.717376857801867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-2.8421709430404007E-14</v>
      </c>
      <c r="BZ140" s="13">
        <f>BY140*VLOOKUP('Données projet'!$B$12,Paramètres!$A$1:$I$89,3,0)*VLOOKUP('Données projet'!$B$12,Paramètres!$A$1:$I$89,5,0)</f>
        <v>-2.5715962692629544E-14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119.62076457560073</v>
      </c>
      <c r="CE140" s="59">
        <f t="shared" si="148"/>
        <v>72.011647893875363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26.86464286697592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26.86464286697592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-2.8421709430404007E-14</v>
      </c>
      <c r="CU140" s="17">
        <f>CT140*VLOOKUP('Données projet'!$B$13,Paramètres!$A$1:$I$89,3,0)*VLOOKUP('Données projet'!$B$13,Paramètres!$A$1:$I$89,5,0)</f>
        <v>-3.0593128030886874E-14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150.9416300233616</v>
      </c>
      <c r="CZ140" s="59">
        <f t="shared" si="150"/>
        <v>92.286636088269972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31.959661341747225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31.959661341747225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439.99999999999943</v>
      </c>
      <c r="DP140" s="17">
        <f>DO140*VLOOKUP('Données projet'!$B$14,Paramètres!$A$1:$I$89,3,0)*VLOOKUP('Données projet'!$B$14,Paramètres!$A$1:$I$89,5,0)</f>
        <v>263.11999999999966</v>
      </c>
      <c r="DQ140" s="13">
        <f t="shared" si="151"/>
        <v>63.386973458751953</v>
      </c>
      <c r="DR140" s="20">
        <f t="shared" si="124"/>
        <v>568.66631210732578</v>
      </c>
      <c r="DS140" s="59">
        <f t="shared" si="125"/>
        <v>861.99964544065915</v>
      </c>
      <c r="DT140" s="59">
        <f ca="1">AVERAGE(OFFSET($DS$3,0,0,'Données projet'!$E$14+1,1))-AVERAGE(OFFSET($H$3,0,0,'Données projet'!$E$14+1,1))</f>
        <v>249.22792522076639</v>
      </c>
      <c r="DU140" s="59">
        <f t="shared" si="152"/>
        <v>244.53725944480669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12.676768164213911</v>
      </c>
      <c r="EB140" s="21">
        <f>EXP(-LN(2)/25)*EB139+(1-EXP(-LN(2)/25))/(LN(2)/25)*Calculateur!DW140*Calculateur!DY140*VLOOKUP('Données projet'!$B$14,Paramètres!$A$1:$I$89,3,0)*0.475*44/12</f>
        <v>2.6297281031112609</v>
      </c>
      <c r="EC140" s="21">
        <f>EXP(-LN(2)/2)*EC139+(1-EXP(-LN(2)/2))/(LN(2)/2)*DW140*DZ140*VLOOKUP('Données projet'!$B$14,Paramètres!$A$1:$I$89,3,0)*0.475*44/12</f>
        <v>1.52621686060652E-10</v>
      </c>
      <c r="ED140" s="22">
        <f t="shared" si="126"/>
        <v>15.306496267477794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2.2737367544323206E-13</v>
      </c>
      <c r="EK140" s="17">
        <f>EJ140*VLOOKUP('Données projet'!$B$15,Paramètres!$A$1:$I$89,3,0)*VLOOKUP('Données projet'!$B$15,Paramètres!$A$1:$I$89,5,0)</f>
        <v>1.2710188457276673E-13</v>
      </c>
      <c r="EL140" s="13">
        <f t="shared" si="153"/>
        <v>1.856866851063998E-12</v>
      </c>
      <c r="EM140" s="20">
        <f t="shared" si="127"/>
        <v>3.4554122145673649E-12</v>
      </c>
      <c r="EN140" s="59">
        <f t="shared" si="128"/>
        <v>293.33333333333678</v>
      </c>
      <c r="EO140" s="59">
        <f ca="1">AVERAGE(OFFSET($EN$3,0,0,'Données projet'!$E$15+1,1))-AVERAGE(OFFSET($H$3,0,0,'Données projet'!$E$15+1,1))</f>
        <v>313.36787814924116</v>
      </c>
      <c r="EP140" s="59">
        <f t="shared" si="154"/>
        <v>438.72984487610216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52.800836025449016</v>
      </c>
      <c r="EW140" s="21">
        <f>EXP(-LN(2)/25)*EW139+(1-EXP(-LN(2)/25))/(LN(2)/25)*Calculateur!ER140*Calculateur!ET140*VLOOKUP('Données projet'!$B$15,Paramètres!$A$1:$I$89,3,0)*0.475*44/12</f>
        <v>5.5981015588444958</v>
      </c>
      <c r="EX140" s="21">
        <f>EXP(-LN(2)/2)*EX139+(1-EXP(-LN(2)/2))/(LN(2)/2)*ER140*EU140*VLOOKUP('Données projet'!$B$15,Paramètres!$A$1:$I$89,3,0)*0.475*44/12</f>
        <v>3.0490278715680397E-12</v>
      </c>
      <c r="EY140" s="22">
        <f t="shared" si="129"/>
        <v>58.398937584296561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-5.6843418860808015E-14</v>
      </c>
      <c r="O141" s="13">
        <f>N141*VLOOKUP('Données projet'!$B$9,Paramètres!$A$1:$I$89,3,0)*VLOOKUP('Données projet'!$B$9,Paramètres!$A$1:$I$89,5,0)</f>
        <v>-5.1431925385259088E-14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173.91998182168385</v>
      </c>
      <c r="T141" s="59">
        <f t="shared" si="142"/>
        <v>72.011647893875363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64.456834355263354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64.456834355263354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-2.8421709430404007E-14</v>
      </c>
      <c r="AJ141" s="13">
        <f>AI141*VLOOKUP('Données projet'!$B$10,Paramètres!$A$1:$I$89,3,0)*VLOOKUP('Données projet'!$B$10,Paramètres!$A$1:$I$89,5,0)</f>
        <v>-3.0593128030886874E-14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150.9416300233616</v>
      </c>
      <c r="AO141" s="59">
        <f t="shared" si="144"/>
        <v>92.286636088269972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31.332951876304161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31.332951876304161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-2.8421709430404007E-14</v>
      </c>
      <c r="BE141" s="13">
        <f>BD141*VLOOKUP('Données projet'!$B$11,Paramètres!$A$1:$I$89,3,0)*VLOOKUP('Données projet'!$B$11,Paramètres!$A$1:$I$89,5,0)</f>
        <v>-2.7489477361086758E-14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131.02416800340484</v>
      </c>
      <c r="BJ141" s="59">
        <f t="shared" si="146"/>
        <v>79.394119001888555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28.154246613490706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28.154246613490706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-2.8421709430404007E-14</v>
      </c>
      <c r="BZ141" s="13">
        <f>BY141*VLOOKUP('Données projet'!$B$12,Paramètres!$A$1:$I$89,3,0)*VLOOKUP('Données projet'!$B$12,Paramètres!$A$1:$I$89,5,0)</f>
        <v>-2.5715962692629544E-14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119.62076457560073</v>
      </c>
      <c r="CE141" s="59">
        <f t="shared" si="148"/>
        <v>72.011647893875363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26.337843606168708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26.337843606168708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-2.8421709430404007E-14</v>
      </c>
      <c r="CU141" s="17">
        <f>CT141*VLOOKUP('Données projet'!$B$13,Paramètres!$A$1:$I$89,3,0)*VLOOKUP('Données projet'!$B$13,Paramètres!$A$1:$I$89,5,0)</f>
        <v>-3.0593128030886874E-14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150.9416300233616</v>
      </c>
      <c r="CZ141" s="59">
        <f t="shared" si="150"/>
        <v>92.286636088269972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31.332951876304161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31.332951876304161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439.99999999999943</v>
      </c>
      <c r="DP141" s="17">
        <f>DO141*VLOOKUP('Données projet'!$B$14,Paramètres!$A$1:$I$89,3,0)*VLOOKUP('Données projet'!$B$14,Paramètres!$A$1:$I$89,5,0)</f>
        <v>263.11999999999966</v>
      </c>
      <c r="DQ141" s="13">
        <f t="shared" si="151"/>
        <v>63.386973458751953</v>
      </c>
      <c r="DR141" s="20">
        <f t="shared" si="124"/>
        <v>568.66631210732578</v>
      </c>
      <c r="DS141" s="59">
        <f t="shared" si="125"/>
        <v>861.99964544065915</v>
      </c>
      <c r="DT141" s="59">
        <f ca="1">AVERAGE(OFFSET($DS$3,0,0,'Données projet'!$E$14+1,1))-AVERAGE(OFFSET($H$3,0,0,'Données projet'!$E$14+1,1))</f>
        <v>249.22792522076639</v>
      </c>
      <c r="DU141" s="59">
        <f t="shared" si="152"/>
        <v>244.53725944480669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12.428184472578778</v>
      </c>
      <c r="EB141" s="21">
        <f>EXP(-LN(2)/25)*EB140+(1-EXP(-LN(2)/25))/(LN(2)/25)*Calculateur!DW141*Calculateur!DY141*VLOOKUP('Données projet'!$B$14,Paramètres!$A$1:$I$89,3,0)*0.475*44/12</f>
        <v>2.5578180498402929</v>
      </c>
      <c r="EC141" s="21">
        <f>EXP(-LN(2)/2)*EC140+(1-EXP(-LN(2)/2))/(LN(2)/2)*DW141*DZ141*VLOOKUP('Données projet'!$B$14,Paramètres!$A$1:$I$89,3,0)*0.475*44/12</f>
        <v>1.0791982916961141E-10</v>
      </c>
      <c r="ED141" s="22">
        <f t="shared" si="126"/>
        <v>14.98600252252699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2.2737367544323206E-13</v>
      </c>
      <c r="EK141" s="17">
        <f>EJ141*VLOOKUP('Données projet'!$B$15,Paramètres!$A$1:$I$89,3,0)*VLOOKUP('Données projet'!$B$15,Paramètres!$A$1:$I$89,5,0)</f>
        <v>1.2710188457276673E-13</v>
      </c>
      <c r="EL141" s="13">
        <f t="shared" si="153"/>
        <v>1.856866851063998E-12</v>
      </c>
      <c r="EM141" s="20">
        <f t="shared" si="127"/>
        <v>3.4554122145673649E-12</v>
      </c>
      <c r="EN141" s="59">
        <f t="shared" si="128"/>
        <v>293.33333333333678</v>
      </c>
      <c r="EO141" s="59">
        <f ca="1">AVERAGE(OFFSET($EN$3,0,0,'Données projet'!$E$15+1,1))-AVERAGE(OFFSET($H$3,0,0,'Données projet'!$E$15+1,1))</f>
        <v>313.36787814924116</v>
      </c>
      <c r="EP141" s="59">
        <f t="shared" si="154"/>
        <v>438.72984487610216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51.765443836319925</v>
      </c>
      <c r="EW141" s="21">
        <f>EXP(-LN(2)/25)*EW140+(1-EXP(-LN(2)/25))/(LN(2)/25)*Calculateur!ER141*Calculateur!ET141*VLOOKUP('Données projet'!$B$15,Paramètres!$A$1:$I$89,3,0)*0.475*44/12</f>
        <v>5.4450211773265265</v>
      </c>
      <c r="EX141" s="21">
        <f>EXP(-LN(2)/2)*EX140+(1-EXP(-LN(2)/2))/(LN(2)/2)*ER141*EU141*VLOOKUP('Données projet'!$B$15,Paramètres!$A$1:$I$89,3,0)*0.475*44/12</f>
        <v>2.1559882840125466E-12</v>
      </c>
      <c r="EY141" s="22">
        <f t="shared" si="129"/>
        <v>57.210465013648601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-5.6843418860808015E-14</v>
      </c>
      <c r="O142" s="13">
        <f>N142*VLOOKUP('Données projet'!$B$9,Paramètres!$A$1:$I$89,3,0)*VLOOKUP('Données projet'!$B$9,Paramètres!$A$1:$I$89,5,0)</f>
        <v>-5.1431925385259088E-14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173.91998182168385</v>
      </c>
      <c r="T142" s="59">
        <f t="shared" si="142"/>
        <v>72.011647893875363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63.192875148343582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63.192875148343582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-2.8421709430404007E-14</v>
      </c>
      <c r="AJ142" s="13">
        <f>AI142*VLOOKUP('Données projet'!$B$10,Paramètres!$A$1:$I$89,3,0)*VLOOKUP('Données projet'!$B$10,Paramètres!$A$1:$I$89,5,0)</f>
        <v>-3.0593128030886874E-14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150.9416300233616</v>
      </c>
      <c r="AO142" s="59">
        <f t="shared" si="144"/>
        <v>92.286636088269972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30.718531801223406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30.718531801223406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-2.8421709430404007E-14</v>
      </c>
      <c r="BE142" s="13">
        <f>BD142*VLOOKUP('Données projet'!$B$11,Paramètres!$A$1:$I$89,3,0)*VLOOKUP('Données projet'!$B$11,Paramètres!$A$1:$I$89,5,0)</f>
        <v>-2.7489477361086758E-14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131.02416800340484</v>
      </c>
      <c r="BJ142" s="59">
        <f t="shared" si="146"/>
        <v>79.394119001888555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27.602159009794953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27.602159009794953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-2.8421709430404007E-14</v>
      </c>
      <c r="BZ142" s="13">
        <f>BY142*VLOOKUP('Données projet'!$B$12,Paramètres!$A$1:$I$89,3,0)*VLOOKUP('Données projet'!$B$12,Paramètres!$A$1:$I$89,5,0)</f>
        <v>-2.5715962692629544E-14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119.62076457560073</v>
      </c>
      <c r="CE142" s="59">
        <f t="shared" si="148"/>
        <v>72.011647893875363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25.821374557550101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25.821374557550101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-2.8421709430404007E-14</v>
      </c>
      <c r="CU142" s="17">
        <f>CT142*VLOOKUP('Données projet'!$B$13,Paramètres!$A$1:$I$89,3,0)*VLOOKUP('Données projet'!$B$13,Paramètres!$A$1:$I$89,5,0)</f>
        <v>-3.0593128030886874E-14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150.9416300233616</v>
      </c>
      <c r="CZ142" s="59">
        <f t="shared" si="150"/>
        <v>92.286636088269972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30.718531801223406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30.718531801223406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439.99999999999943</v>
      </c>
      <c r="DP142" s="17">
        <f>DO142*VLOOKUP('Données projet'!$B$14,Paramètres!$A$1:$I$89,3,0)*VLOOKUP('Données projet'!$B$14,Paramètres!$A$1:$I$89,5,0)</f>
        <v>263.11999999999966</v>
      </c>
      <c r="DQ142" s="13">
        <f t="shared" si="151"/>
        <v>63.386973458751953</v>
      </c>
      <c r="DR142" s="20">
        <f t="shared" si="124"/>
        <v>568.66631210732578</v>
      </c>
      <c r="DS142" s="59">
        <f t="shared" si="125"/>
        <v>861.99964544065915</v>
      </c>
      <c r="DT142" s="59">
        <f ca="1">AVERAGE(OFFSET($DS$3,0,0,'Données projet'!$E$14+1,1))-AVERAGE(OFFSET($H$3,0,0,'Données projet'!$E$14+1,1))</f>
        <v>249.22792522076639</v>
      </c>
      <c r="DU142" s="59">
        <f t="shared" si="152"/>
        <v>244.53725944480669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12.184475355515529</v>
      </c>
      <c r="EB142" s="21">
        <f>EXP(-LN(2)/25)*EB141+(1-EXP(-LN(2)/25))/(LN(2)/25)*Calculateur!DW142*Calculateur!DY142*VLOOKUP('Données projet'!$B$14,Paramètres!$A$1:$I$89,3,0)*0.475*44/12</f>
        <v>2.4878743807576047</v>
      </c>
      <c r="EC142" s="21">
        <f>EXP(-LN(2)/2)*EC141+(1-EXP(-LN(2)/2))/(LN(2)/2)*DW142*DZ142*VLOOKUP('Données projet'!$B$14,Paramètres!$A$1:$I$89,3,0)*0.475*44/12</f>
        <v>7.6310843030326E-11</v>
      </c>
      <c r="ED142" s="22">
        <f t="shared" si="126"/>
        <v>14.672349736349444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2.2737367544323206E-13</v>
      </c>
      <c r="EK142" s="17">
        <f>EJ142*VLOOKUP('Données projet'!$B$15,Paramètres!$A$1:$I$89,3,0)*VLOOKUP('Données projet'!$B$15,Paramètres!$A$1:$I$89,5,0)</f>
        <v>1.2710188457276673E-13</v>
      </c>
      <c r="EL142" s="13">
        <f t="shared" si="153"/>
        <v>1.856866851063998E-12</v>
      </c>
      <c r="EM142" s="20">
        <f t="shared" si="127"/>
        <v>3.4554122145673649E-12</v>
      </c>
      <c r="EN142" s="59">
        <f t="shared" si="128"/>
        <v>293.33333333333678</v>
      </c>
      <c r="EO142" s="59">
        <f ca="1">AVERAGE(OFFSET($EN$3,0,0,'Données projet'!$E$15+1,1))-AVERAGE(OFFSET($H$3,0,0,'Données projet'!$E$15+1,1))</f>
        <v>313.36787814924116</v>
      </c>
      <c r="EP142" s="59">
        <f t="shared" si="154"/>
        <v>438.72984487610216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50.750355056492779</v>
      </c>
      <c r="EW142" s="21">
        <f>EXP(-LN(2)/25)*EW141+(1-EXP(-LN(2)/25))/(LN(2)/25)*Calculateur!ER142*Calculateur!ET142*VLOOKUP('Données projet'!$B$15,Paramètres!$A$1:$I$89,3,0)*0.475*44/12</f>
        <v>5.296126786891314</v>
      </c>
      <c r="EX142" s="21">
        <f>EXP(-LN(2)/2)*EX141+(1-EXP(-LN(2)/2))/(LN(2)/2)*ER142*EU142*VLOOKUP('Données projet'!$B$15,Paramètres!$A$1:$I$89,3,0)*0.475*44/12</f>
        <v>1.5245139357840199E-12</v>
      </c>
      <c r="EY142" s="22">
        <f t="shared" si="129"/>
        <v>56.046481843385621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-5.6843418860808015E-14</v>
      </c>
      <c r="O143" s="13">
        <f>N143*VLOOKUP('Données projet'!$B$9,Paramètres!$A$1:$I$89,3,0)*VLOOKUP('Données projet'!$B$9,Paramètres!$A$1:$I$89,5,0)</f>
        <v>-5.1431925385259088E-14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173.91998182168385</v>
      </c>
      <c r="T143" s="59">
        <f t="shared" si="142"/>
        <v>72.011647893875363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61.953701410532517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61.953701410532517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-2.8421709430404007E-14</v>
      </c>
      <c r="AJ143" s="13">
        <f>AI143*VLOOKUP('Données projet'!$B$10,Paramètres!$A$1:$I$89,3,0)*VLOOKUP('Données projet'!$B$10,Paramètres!$A$1:$I$89,5,0)</f>
        <v>-3.0593128030886874E-14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150.9416300233616</v>
      </c>
      <c r="AO143" s="59">
        <f t="shared" si="144"/>
        <v>92.286636088269972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30.116160129055743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30.116160129055743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-2.8421709430404007E-14</v>
      </c>
      <c r="BE143" s="13">
        <f>BD143*VLOOKUP('Données projet'!$B$11,Paramètres!$A$1:$I$89,3,0)*VLOOKUP('Données projet'!$B$11,Paramètres!$A$1:$I$89,5,0)</f>
        <v>-2.7489477361086758E-14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131.02416800340484</v>
      </c>
      <c r="BJ143" s="59">
        <f t="shared" si="146"/>
        <v>79.394119001888555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27.060897507267487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27.060897507267487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-2.8421709430404007E-14</v>
      </c>
      <c r="BZ143" s="13">
        <f>BY143*VLOOKUP('Données projet'!$B$12,Paramètres!$A$1:$I$89,3,0)*VLOOKUP('Données projet'!$B$12,Paramètres!$A$1:$I$89,5,0)</f>
        <v>-2.5715962692629544E-14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119.62076457560073</v>
      </c>
      <c r="CE143" s="59">
        <f t="shared" si="148"/>
        <v>72.011647893875363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25.315033151959891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25.315033151959891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-2.8421709430404007E-14</v>
      </c>
      <c r="CU143" s="17">
        <f>CT143*VLOOKUP('Données projet'!$B$13,Paramètres!$A$1:$I$89,3,0)*VLOOKUP('Données projet'!$B$13,Paramètres!$A$1:$I$89,5,0)</f>
        <v>-3.0593128030886874E-14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150.9416300233616</v>
      </c>
      <c r="CZ143" s="59">
        <f t="shared" si="150"/>
        <v>92.286636088269972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30.116160129055743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30.116160129055743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439.99999999999943</v>
      </c>
      <c r="DP143" s="17">
        <f>DO143*VLOOKUP('Données projet'!$B$14,Paramètres!$A$1:$I$89,3,0)*VLOOKUP('Données projet'!$B$14,Paramètres!$A$1:$I$89,5,0)</f>
        <v>263.11999999999966</v>
      </c>
      <c r="DQ143" s="13">
        <f t="shared" si="151"/>
        <v>63.386973458751953</v>
      </c>
      <c r="DR143" s="20">
        <f t="shared" si="124"/>
        <v>568.66631210732578</v>
      </c>
      <c r="DS143" s="59">
        <f t="shared" si="125"/>
        <v>861.99964544065915</v>
      </c>
      <c r="DT143" s="59">
        <f ca="1">AVERAGE(OFFSET($DS$3,0,0,'Données projet'!$E$14+1,1))-AVERAGE(OFFSET($H$3,0,0,'Données projet'!$E$14+1,1))</f>
        <v>249.22792522076639</v>
      </c>
      <c r="DU143" s="59">
        <f t="shared" si="152"/>
        <v>244.53725944480669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11.945545225590008</v>
      </c>
      <c r="EB143" s="21">
        <f>EXP(-LN(2)/25)*EB142+(1-EXP(-LN(2)/25))/(LN(2)/25)*Calculateur!DW143*Calculateur!DY143*VLOOKUP('Données projet'!$B$14,Paramètres!$A$1:$I$89,3,0)*0.475*44/12</f>
        <v>2.4198433249841602</v>
      </c>
      <c r="EC143" s="21">
        <f>EXP(-LN(2)/2)*EC142+(1-EXP(-LN(2)/2))/(LN(2)/2)*DW143*DZ143*VLOOKUP('Données projet'!$B$14,Paramètres!$A$1:$I$89,3,0)*0.475*44/12</f>
        <v>5.3959914584805703E-11</v>
      </c>
      <c r="ED143" s="22">
        <f t="shared" si="126"/>
        <v>14.365388550628129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2.2737367544323206E-13</v>
      </c>
      <c r="EK143" s="17">
        <f>EJ143*VLOOKUP('Données projet'!$B$15,Paramètres!$A$1:$I$89,3,0)*VLOOKUP('Données projet'!$B$15,Paramètres!$A$1:$I$89,5,0)</f>
        <v>1.2710188457276673E-13</v>
      </c>
      <c r="EL143" s="13">
        <f t="shared" si="153"/>
        <v>1.856866851063998E-12</v>
      </c>
      <c r="EM143" s="20">
        <f t="shared" si="127"/>
        <v>3.4554122145673649E-12</v>
      </c>
      <c r="EN143" s="59">
        <f t="shared" si="128"/>
        <v>293.33333333333678</v>
      </c>
      <c r="EO143" s="59">
        <f ca="1">AVERAGE(OFFSET($EN$3,0,0,'Données projet'!$E$15+1,1))-AVERAGE(OFFSET($H$3,0,0,'Données projet'!$E$15+1,1))</f>
        <v>313.36787814924116</v>
      </c>
      <c r="EP143" s="59">
        <f t="shared" si="154"/>
        <v>438.72984487610216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49.755171548495021</v>
      </c>
      <c r="EW143" s="21">
        <f>EXP(-LN(2)/25)*EW142+(1-EXP(-LN(2)/25))/(LN(2)/25)*Calculateur!ER143*Calculateur!ET143*VLOOKUP('Données projet'!$B$15,Paramètres!$A$1:$I$89,3,0)*0.475*44/12</f>
        <v>5.151303921392568</v>
      </c>
      <c r="EX143" s="21">
        <f>EXP(-LN(2)/2)*EX142+(1-EXP(-LN(2)/2))/(LN(2)/2)*ER143*EU143*VLOOKUP('Données projet'!$B$15,Paramètres!$A$1:$I$89,3,0)*0.475*44/12</f>
        <v>1.0779941420062733E-12</v>
      </c>
      <c r="EY143" s="22">
        <f t="shared" si="129"/>
        <v>54.906475469888669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-5.6843418860808015E-14</v>
      </c>
      <c r="O144" s="13">
        <f>N144*VLOOKUP('Données projet'!$B$9,Paramètres!$A$1:$I$89,3,0)*VLOOKUP('Données projet'!$B$9,Paramètres!$A$1:$I$89,5,0)</f>
        <v>-5.1431925385259088E-14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173.91998182168385</v>
      </c>
      <c r="T144" s="59">
        <f t="shared" si="142"/>
        <v>72.011647893875363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60.73882711389858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60.73882711389858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-2.8421709430404007E-14</v>
      </c>
      <c r="AJ144" s="13">
        <f>AI144*VLOOKUP('Données projet'!$B$10,Paramètres!$A$1:$I$89,3,0)*VLOOKUP('Données projet'!$B$10,Paramètres!$A$1:$I$89,5,0)</f>
        <v>-3.0593128030886874E-14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150.9416300233616</v>
      </c>
      <c r="AO144" s="59">
        <f t="shared" si="144"/>
        <v>92.286636088269972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29.525600597968847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29.525600597968847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-2.8421709430404007E-14</v>
      </c>
      <c r="BE144" s="13">
        <f>BD144*VLOOKUP('Données projet'!$B$11,Paramètres!$A$1:$I$89,3,0)*VLOOKUP('Données projet'!$B$11,Paramètres!$A$1:$I$89,5,0)</f>
        <v>-2.7489477361086758E-14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131.02416800340484</v>
      </c>
      <c r="BJ144" s="59">
        <f t="shared" si="146"/>
        <v>79.394119001888555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26.530249812667666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26.530249812667666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-2.8421709430404007E-14</v>
      </c>
      <c r="BZ144" s="13">
        <f>BY144*VLOOKUP('Données projet'!$B$12,Paramètres!$A$1:$I$89,3,0)*VLOOKUP('Données projet'!$B$12,Paramètres!$A$1:$I$89,5,0)</f>
        <v>-2.5715962692629544E-14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119.62076457560073</v>
      </c>
      <c r="CE144" s="59">
        <f t="shared" si="148"/>
        <v>72.011647893875363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24.818620792495544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24.818620792495544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-2.8421709430404007E-14</v>
      </c>
      <c r="CU144" s="17">
        <f>CT144*VLOOKUP('Données projet'!$B$13,Paramètres!$A$1:$I$89,3,0)*VLOOKUP('Données projet'!$B$13,Paramètres!$A$1:$I$89,5,0)</f>
        <v>-3.0593128030886874E-14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150.9416300233616</v>
      </c>
      <c r="CZ144" s="59">
        <f t="shared" si="150"/>
        <v>92.286636088269972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29.525600597968847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29.525600597968847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439.99999999999943</v>
      </c>
      <c r="DP144" s="17">
        <f>DO144*VLOOKUP('Données projet'!$B$14,Paramètres!$A$1:$I$89,3,0)*VLOOKUP('Données projet'!$B$14,Paramètres!$A$1:$I$89,5,0)</f>
        <v>263.11999999999966</v>
      </c>
      <c r="DQ144" s="13">
        <f t="shared" si="151"/>
        <v>63.386973458751953</v>
      </c>
      <c r="DR144" s="20">
        <f t="shared" si="124"/>
        <v>568.66631210732578</v>
      </c>
      <c r="DS144" s="59">
        <f t="shared" si="125"/>
        <v>861.99964544065915</v>
      </c>
      <c r="DT144" s="59">
        <f ca="1">AVERAGE(OFFSET($DS$3,0,0,'Données projet'!$E$14+1,1))-AVERAGE(OFFSET($H$3,0,0,'Données projet'!$E$14+1,1))</f>
        <v>249.22792522076639</v>
      </c>
      <c r="DU144" s="59">
        <f t="shared" si="152"/>
        <v>244.53725944480669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11.711300369779337</v>
      </c>
      <c r="EB144" s="21">
        <f>EXP(-LN(2)/25)*EB143+(1-EXP(-LN(2)/25))/(LN(2)/25)*Calculateur!DW144*Calculateur!DY144*VLOOKUP('Données projet'!$B$14,Paramètres!$A$1:$I$89,3,0)*0.475*44/12</f>
        <v>2.3536725820084383</v>
      </c>
      <c r="EC144" s="21">
        <f>EXP(-LN(2)/2)*EC143+(1-EXP(-LN(2)/2))/(LN(2)/2)*DW144*DZ144*VLOOKUP('Données projet'!$B$14,Paramètres!$A$1:$I$89,3,0)*0.475*44/12</f>
        <v>3.8155421515163E-11</v>
      </c>
      <c r="ED144" s="22">
        <f t="shared" si="126"/>
        <v>14.064972951825933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2.2737367544323206E-13</v>
      </c>
      <c r="EK144" s="17">
        <f>EJ144*VLOOKUP('Données projet'!$B$15,Paramètres!$A$1:$I$89,3,0)*VLOOKUP('Données projet'!$B$15,Paramètres!$A$1:$I$89,5,0)</f>
        <v>1.2710188457276673E-13</v>
      </c>
      <c r="EL144" s="13">
        <f t="shared" si="153"/>
        <v>1.856866851063998E-12</v>
      </c>
      <c r="EM144" s="20">
        <f t="shared" si="127"/>
        <v>3.4554122145673649E-12</v>
      </c>
      <c r="EN144" s="59">
        <f t="shared" si="128"/>
        <v>293.33333333333678</v>
      </c>
      <c r="EO144" s="59">
        <f ca="1">AVERAGE(OFFSET($EN$3,0,0,'Données projet'!$E$15+1,1))-AVERAGE(OFFSET($H$3,0,0,'Données projet'!$E$15+1,1))</f>
        <v>313.36787814924116</v>
      </c>
      <c r="EP144" s="59">
        <f t="shared" si="154"/>
        <v>438.72984487610216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48.779502982087095</v>
      </c>
      <c r="EW144" s="21">
        <f>EXP(-LN(2)/25)*EW143+(1-EXP(-LN(2)/25))/(LN(2)/25)*Calculateur!ER144*Calculateur!ET144*VLOOKUP('Données projet'!$B$15,Paramètres!$A$1:$I$89,3,0)*0.475*44/12</f>
        <v>5.0104412447667883</v>
      </c>
      <c r="EX144" s="21">
        <f>EXP(-LN(2)/2)*EX143+(1-EXP(-LN(2)/2))/(LN(2)/2)*ER144*EU144*VLOOKUP('Données projet'!$B$15,Paramètres!$A$1:$I$89,3,0)*0.475*44/12</f>
        <v>7.6225696789200993E-13</v>
      </c>
      <c r="EY144" s="22">
        <f t="shared" si="129"/>
        <v>53.789944226854644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-5.6843418860808015E-14</v>
      </c>
      <c r="O145" s="13">
        <f>N145*VLOOKUP('Données projet'!$B$9,Paramètres!$A$1:$I$89,3,0)*VLOOKUP('Données projet'!$B$9,Paramètres!$A$1:$I$89,5,0)</f>
        <v>-5.1431925385259088E-14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173.91998182168385</v>
      </c>
      <c r="T145" s="59">
        <f t="shared" si="142"/>
        <v>72.011647893875363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59.54777576122148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59.54777576122148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-2.8421709430404007E-14</v>
      </c>
      <c r="AJ145" s="13">
        <f>AI145*VLOOKUP('Données projet'!$B$10,Paramètres!$A$1:$I$89,3,0)*VLOOKUP('Données projet'!$B$10,Paramètres!$A$1:$I$89,5,0)</f>
        <v>-3.0593128030886874E-14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150.9416300233616</v>
      </c>
      <c r="AO145" s="59">
        <f t="shared" si="144"/>
        <v>92.286636088269972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28.946621579080816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28.946621579080816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-2.8421709430404007E-14</v>
      </c>
      <c r="BE145" s="13">
        <f>BD145*VLOOKUP('Données projet'!$B$11,Paramètres!$A$1:$I$89,3,0)*VLOOKUP('Données projet'!$B$11,Paramètres!$A$1:$I$89,5,0)</f>
        <v>-2.7489477361086758E-14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131.02416800340484</v>
      </c>
      <c r="BJ145" s="59">
        <f t="shared" si="146"/>
        <v>79.394119001888555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26.010007795695813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26.010007795695813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-2.8421709430404007E-14</v>
      </c>
      <c r="BZ145" s="13">
        <f>BY145*VLOOKUP('Données projet'!$B$12,Paramètres!$A$1:$I$89,3,0)*VLOOKUP('Données projet'!$B$12,Paramètres!$A$1:$I$89,5,0)</f>
        <v>-2.5715962692629544E-14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119.62076457560073</v>
      </c>
      <c r="CE145" s="59">
        <f t="shared" si="148"/>
        <v>72.011647893875363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24.33194277661865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24.33194277661865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-2.8421709430404007E-14</v>
      </c>
      <c r="CU145" s="17">
        <f>CT145*VLOOKUP('Données projet'!$B$13,Paramètres!$A$1:$I$89,3,0)*VLOOKUP('Données projet'!$B$13,Paramètres!$A$1:$I$89,5,0)</f>
        <v>-3.0593128030886874E-14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150.9416300233616</v>
      </c>
      <c r="CZ145" s="59">
        <f t="shared" si="150"/>
        <v>92.286636088269972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28.946621579080816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28.946621579080816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439.99999999999943</v>
      </c>
      <c r="DP145" s="17">
        <f>DO145*VLOOKUP('Données projet'!$B$14,Paramètres!$A$1:$I$89,3,0)*VLOOKUP('Données projet'!$B$14,Paramètres!$A$1:$I$89,5,0)</f>
        <v>263.11999999999966</v>
      </c>
      <c r="DQ145" s="13">
        <f t="shared" si="151"/>
        <v>63.386973458751953</v>
      </c>
      <c r="DR145" s="20">
        <f t="shared" si="124"/>
        <v>568.66631210732578</v>
      </c>
      <c r="DS145" s="59">
        <f t="shared" si="125"/>
        <v>861.99964544065915</v>
      </c>
      <c r="DT145" s="59">
        <f ca="1">AVERAGE(OFFSET($DS$3,0,0,'Données projet'!$E$14+1,1))-AVERAGE(OFFSET($H$3,0,0,'Données projet'!$E$14+1,1))</f>
        <v>249.22792522076639</v>
      </c>
      <c r="DU145" s="59">
        <f t="shared" si="152"/>
        <v>244.53725944480669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11.481648912715858</v>
      </c>
      <c r="EB145" s="21">
        <f>EXP(-LN(2)/25)*EB144+(1-EXP(-LN(2)/25))/(LN(2)/25)*Calculateur!DW145*Calculateur!DY145*VLOOKUP('Données projet'!$B$14,Paramètres!$A$1:$I$89,3,0)*0.475*44/12</f>
        <v>2.2893112814791561</v>
      </c>
      <c r="EC145" s="21">
        <f>EXP(-LN(2)/2)*EC144+(1-EXP(-LN(2)/2))/(LN(2)/2)*DW145*DZ145*VLOOKUP('Données projet'!$B$14,Paramètres!$A$1:$I$89,3,0)*0.475*44/12</f>
        <v>2.6979957292402851E-11</v>
      </c>
      <c r="ED145" s="22">
        <f t="shared" si="126"/>
        <v>13.770960194221994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2.2737367544323206E-13</v>
      </c>
      <c r="EK145" s="17">
        <f>EJ145*VLOOKUP('Données projet'!$B$15,Paramètres!$A$1:$I$89,3,0)*VLOOKUP('Données projet'!$B$15,Paramètres!$A$1:$I$89,5,0)</f>
        <v>1.2710188457276673E-13</v>
      </c>
      <c r="EL145" s="13">
        <f t="shared" si="153"/>
        <v>1.856866851063998E-12</v>
      </c>
      <c r="EM145" s="20">
        <f t="shared" si="127"/>
        <v>3.4554122145673649E-12</v>
      </c>
      <c r="EN145" s="59">
        <f t="shared" si="128"/>
        <v>293.33333333333678</v>
      </c>
      <c r="EO145" s="59">
        <f ca="1">AVERAGE(OFFSET($EN$3,0,0,'Données projet'!$E$15+1,1))-AVERAGE(OFFSET($H$3,0,0,'Données projet'!$E$15+1,1))</f>
        <v>313.36787814924116</v>
      </c>
      <c r="EP145" s="59">
        <f t="shared" si="154"/>
        <v>438.72984487610216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47.822966681167365</v>
      </c>
      <c r="EW145" s="21">
        <f>EXP(-LN(2)/25)*EW144+(1-EXP(-LN(2)/25))/(LN(2)/25)*Calculateur!ER145*Calculateur!ET145*VLOOKUP('Données projet'!$B$15,Paramètres!$A$1:$I$89,3,0)*0.475*44/12</f>
        <v>4.873430465440987</v>
      </c>
      <c r="EX145" s="21">
        <f>EXP(-LN(2)/2)*EX144+(1-EXP(-LN(2)/2))/(LN(2)/2)*ER145*EU145*VLOOKUP('Données projet'!$B$15,Paramètres!$A$1:$I$89,3,0)*0.475*44/12</f>
        <v>5.3899707100313664E-13</v>
      </c>
      <c r="EY145" s="22">
        <f t="shared" si="129"/>
        <v>52.696397146608895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-5.6843418860808015E-14</v>
      </c>
      <c r="O146" s="13">
        <f>N146*VLOOKUP('Données projet'!$B$9,Paramètres!$A$1:$I$89,3,0)*VLOOKUP('Données projet'!$B$9,Paramètres!$A$1:$I$89,5,0)</f>
        <v>-5.1431925385259088E-14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173.91998182168385</v>
      </c>
      <c r="T146" s="59">
        <f t="shared" si="142"/>
        <v>72.011647893875363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58.380080199100782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58.380080199100782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-2.8421709430404007E-14</v>
      </c>
      <c r="AJ146" s="13">
        <f>AI146*VLOOKUP('Données projet'!$B$10,Paramètres!$A$1:$I$89,3,0)*VLOOKUP('Données projet'!$B$10,Paramètres!$A$1:$I$89,5,0)</f>
        <v>-3.0593128030886874E-14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150.9416300233616</v>
      </c>
      <c r="AO146" s="59">
        <f t="shared" si="144"/>
        <v>92.286636088269972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28.37899598561085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28.37899598561085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-2.8421709430404007E-14</v>
      </c>
      <c r="BE146" s="13">
        <f>BD146*VLOOKUP('Données projet'!$B$11,Paramètres!$A$1:$I$89,3,0)*VLOOKUP('Données projet'!$B$11,Paramètres!$A$1:$I$89,5,0)</f>
        <v>-2.7489477361086758E-14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131.02416800340484</v>
      </c>
      <c r="BJ146" s="59">
        <f t="shared" si="146"/>
        <v>79.394119001888555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25.499967407360479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25.499967407360479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-2.8421709430404007E-14</v>
      </c>
      <c r="BZ146" s="13">
        <f>BY146*VLOOKUP('Données projet'!$B$12,Paramètres!$A$1:$I$89,3,0)*VLOOKUP('Données projet'!$B$12,Paramètres!$A$1:$I$89,5,0)</f>
        <v>-2.5715962692629544E-14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119.62076457560073</v>
      </c>
      <c r="CE146" s="59">
        <f t="shared" si="148"/>
        <v>72.011647893875363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23.854808219788822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23.854808219788822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-2.8421709430404007E-14</v>
      </c>
      <c r="CU146" s="17">
        <f>CT146*VLOOKUP('Données projet'!$B$13,Paramètres!$A$1:$I$89,3,0)*VLOOKUP('Données projet'!$B$13,Paramètres!$A$1:$I$89,5,0)</f>
        <v>-3.0593128030886874E-14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150.9416300233616</v>
      </c>
      <c r="CZ146" s="59">
        <f t="shared" si="150"/>
        <v>92.286636088269972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28.37899598561085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28.37899598561085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439.99999999999943</v>
      </c>
      <c r="DP146" s="17">
        <f>DO146*VLOOKUP('Données projet'!$B$14,Paramètres!$A$1:$I$89,3,0)*VLOOKUP('Données projet'!$B$14,Paramètres!$A$1:$I$89,5,0)</f>
        <v>263.11999999999966</v>
      </c>
      <c r="DQ146" s="13">
        <f t="shared" si="151"/>
        <v>63.386973458751953</v>
      </c>
      <c r="DR146" s="20">
        <f t="shared" si="124"/>
        <v>568.66631210732578</v>
      </c>
      <c r="DS146" s="59">
        <f t="shared" si="125"/>
        <v>861.99964544065915</v>
      </c>
      <c r="DT146" s="59">
        <f ca="1">AVERAGE(OFFSET($DS$3,0,0,'Données projet'!$E$14+1,1))-AVERAGE(OFFSET($H$3,0,0,'Données projet'!$E$14+1,1))</f>
        <v>249.22792522076639</v>
      </c>
      <c r="DU146" s="59">
        <f t="shared" si="152"/>
        <v>244.53725944480669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11.256500780651837</v>
      </c>
      <c r="EB146" s="21">
        <f>EXP(-LN(2)/25)*EB145+(1-EXP(-LN(2)/25))/(LN(2)/25)*Calculateur!DW146*Calculateur!DY146*VLOOKUP('Données projet'!$B$14,Paramètres!$A$1:$I$89,3,0)*0.475*44/12</f>
        <v>2.2267099440974607</v>
      </c>
      <c r="EC146" s="21">
        <f>EXP(-LN(2)/2)*EC145+(1-EXP(-LN(2)/2))/(LN(2)/2)*DW146*DZ146*VLOOKUP('Données projet'!$B$14,Paramètres!$A$1:$I$89,3,0)*0.475*44/12</f>
        <v>1.90777107575815E-11</v>
      </c>
      <c r="ED146" s="22">
        <f t="shared" si="126"/>
        <v>13.483210724768377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2.2737367544323206E-13</v>
      </c>
      <c r="EK146" s="17">
        <f>EJ146*VLOOKUP('Données projet'!$B$15,Paramètres!$A$1:$I$89,3,0)*VLOOKUP('Données projet'!$B$15,Paramètres!$A$1:$I$89,5,0)</f>
        <v>1.2710188457276673E-13</v>
      </c>
      <c r="EL146" s="13">
        <f t="shared" si="153"/>
        <v>1.856866851063998E-12</v>
      </c>
      <c r="EM146" s="20">
        <f t="shared" si="127"/>
        <v>3.4554122145673649E-12</v>
      </c>
      <c r="EN146" s="59">
        <f t="shared" si="128"/>
        <v>293.33333333333678</v>
      </c>
      <c r="EO146" s="59">
        <f ca="1">AVERAGE(OFFSET($EN$3,0,0,'Données projet'!$E$15+1,1))-AVERAGE(OFFSET($H$3,0,0,'Données projet'!$E$15+1,1))</f>
        <v>313.36787814924116</v>
      </c>
      <c r="EP146" s="59">
        <f t="shared" si="154"/>
        <v>438.72984487610216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46.885187473679139</v>
      </c>
      <c r="EW146" s="21">
        <f>EXP(-LN(2)/25)*EW145+(1-EXP(-LN(2)/25))/(LN(2)/25)*Calculateur!ER146*Calculateur!ET146*VLOOKUP('Données projet'!$B$15,Paramètres!$A$1:$I$89,3,0)*0.475*44/12</f>
        <v>4.7401662530809334</v>
      </c>
      <c r="EX146" s="21">
        <f>EXP(-LN(2)/2)*EX145+(1-EXP(-LN(2)/2))/(LN(2)/2)*ER146*EU146*VLOOKUP('Données projet'!$B$15,Paramètres!$A$1:$I$89,3,0)*0.475*44/12</f>
        <v>3.8112848394600497E-13</v>
      </c>
      <c r="EY146" s="22">
        <f t="shared" si="129"/>
        <v>51.625353726760459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-5.6843418860808015E-14</v>
      </c>
      <c r="O147" s="13">
        <f>N147*VLOOKUP('Données projet'!$B$9,Paramètres!$A$1:$I$89,3,0)*VLOOKUP('Données projet'!$B$9,Paramètres!$A$1:$I$89,5,0)</f>
        <v>-5.1431925385259088E-14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173.91998182168385</v>
      </c>
      <c r="T147" s="59">
        <f t="shared" si="142"/>
        <v>72.011647893875363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57.235282434729307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57.235282434729307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-2.8421709430404007E-14</v>
      </c>
      <c r="AJ147" s="13">
        <f>AI147*VLOOKUP('Données projet'!$B$10,Paramètres!$A$1:$I$89,3,0)*VLOOKUP('Données projet'!$B$10,Paramètres!$A$1:$I$89,5,0)</f>
        <v>-3.0593128030886874E-14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150.9416300233616</v>
      </c>
      <c r="AO147" s="59">
        <f t="shared" si="144"/>
        <v>92.286636088269972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27.822501183811404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27.822501183811404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-2.8421709430404007E-14</v>
      </c>
      <c r="BE147" s="13">
        <f>BD147*VLOOKUP('Données projet'!$B$11,Paramètres!$A$1:$I$89,3,0)*VLOOKUP('Données projet'!$B$11,Paramètres!$A$1:$I$89,5,0)</f>
        <v>-2.7489477361086758E-14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131.02416800340484</v>
      </c>
      <c r="BJ147" s="59">
        <f t="shared" si="146"/>
        <v>79.394119001888555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24.999928599946482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24.999928599946482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-2.8421709430404007E-14</v>
      </c>
      <c r="BZ147" s="13">
        <f>BY147*VLOOKUP('Données projet'!$B$12,Paramètres!$A$1:$I$89,3,0)*VLOOKUP('Données projet'!$B$12,Paramètres!$A$1:$I$89,5,0)</f>
        <v>-2.5715962692629544E-14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119.62076457560073</v>
      </c>
      <c r="CE147" s="59">
        <f t="shared" si="148"/>
        <v>72.011647893875363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23.387029980595084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23.387029980595084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-2.8421709430404007E-14</v>
      </c>
      <c r="CU147" s="17">
        <f>CT147*VLOOKUP('Données projet'!$B$13,Paramètres!$A$1:$I$89,3,0)*VLOOKUP('Données projet'!$B$13,Paramètres!$A$1:$I$89,5,0)</f>
        <v>-3.0593128030886874E-14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150.9416300233616</v>
      </c>
      <c r="CZ147" s="59">
        <f t="shared" si="150"/>
        <v>92.286636088269972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27.822501183811404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27.822501183811404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439.99999999999943</v>
      </c>
      <c r="DP147" s="17">
        <f>DO147*VLOOKUP('Données projet'!$B$14,Paramètres!$A$1:$I$89,3,0)*VLOOKUP('Données projet'!$B$14,Paramètres!$A$1:$I$89,5,0)</f>
        <v>263.11999999999966</v>
      </c>
      <c r="DQ147" s="13">
        <f t="shared" si="151"/>
        <v>63.386973458751953</v>
      </c>
      <c r="DR147" s="20">
        <f t="shared" si="124"/>
        <v>568.66631210732578</v>
      </c>
      <c r="DS147" s="59">
        <f t="shared" si="125"/>
        <v>861.99964544065915</v>
      </c>
      <c r="DT147" s="59">
        <f ca="1">AVERAGE(OFFSET($DS$3,0,0,'Données projet'!$E$14+1,1))-AVERAGE(OFFSET($H$3,0,0,'Données projet'!$E$14+1,1))</f>
        <v>249.22792522076639</v>
      </c>
      <c r="DU147" s="59">
        <f t="shared" si="152"/>
        <v>244.53725944480669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11.035767666130791</v>
      </c>
      <c r="EB147" s="21">
        <f>EXP(-LN(2)/25)*EB146+(1-EXP(-LN(2)/25))/(LN(2)/25)*Calculateur!DW147*Calculateur!DY147*VLOOKUP('Données projet'!$B$14,Paramètres!$A$1:$I$89,3,0)*0.475*44/12</f>
        <v>2.1658204435785291</v>
      </c>
      <c r="EC147" s="21">
        <f>EXP(-LN(2)/2)*EC146+(1-EXP(-LN(2)/2))/(LN(2)/2)*DW147*DZ147*VLOOKUP('Données projet'!$B$14,Paramètres!$A$1:$I$89,3,0)*0.475*44/12</f>
        <v>1.3489978646201426E-11</v>
      </c>
      <c r="ED147" s="22">
        <f t="shared" si="126"/>
        <v>13.20158810972281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2.2737367544323206E-13</v>
      </c>
      <c r="EK147" s="17">
        <f>EJ147*VLOOKUP('Données projet'!$B$15,Paramètres!$A$1:$I$89,3,0)*VLOOKUP('Données projet'!$B$15,Paramètres!$A$1:$I$89,5,0)</f>
        <v>1.2710188457276673E-13</v>
      </c>
      <c r="EL147" s="13">
        <f t="shared" si="153"/>
        <v>1.856866851063998E-12</v>
      </c>
      <c r="EM147" s="20">
        <f t="shared" si="127"/>
        <v>3.4554122145673649E-12</v>
      </c>
      <c r="EN147" s="59">
        <f t="shared" si="128"/>
        <v>293.33333333333678</v>
      </c>
      <c r="EO147" s="59">
        <f ca="1">AVERAGE(OFFSET($EN$3,0,0,'Données projet'!$E$15+1,1))-AVERAGE(OFFSET($H$3,0,0,'Données projet'!$E$15+1,1))</f>
        <v>313.36787814924116</v>
      </c>
      <c r="EP147" s="59">
        <f t="shared" si="154"/>
        <v>438.72984487610216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45.965797544460919</v>
      </c>
      <c r="EW147" s="21">
        <f>EXP(-LN(2)/25)*EW146+(1-EXP(-LN(2)/25))/(LN(2)/25)*Calculateur!ER147*Calculateur!ET147*VLOOKUP('Données projet'!$B$15,Paramètres!$A$1:$I$89,3,0)*0.475*44/12</f>
        <v>4.6105461576159259</v>
      </c>
      <c r="EX147" s="21">
        <f>EXP(-LN(2)/2)*EX146+(1-EXP(-LN(2)/2))/(LN(2)/2)*ER147*EU147*VLOOKUP('Données projet'!$B$15,Paramètres!$A$1:$I$89,3,0)*0.475*44/12</f>
        <v>2.6949853550156832E-13</v>
      </c>
      <c r="EY147" s="22">
        <f t="shared" si="129"/>
        <v>50.576343702077118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-5.6843418860808015E-14</v>
      </c>
      <c r="O148" s="13">
        <f>N148*VLOOKUP('Données projet'!$B$9,Paramètres!$A$1:$I$89,3,0)*VLOOKUP('Données projet'!$B$9,Paramètres!$A$1:$I$89,5,0)</f>
        <v>-5.1431925385259088E-14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173.91998182168385</v>
      </c>
      <c r="T148" s="59">
        <f t="shared" si="142"/>
        <v>72.011647893875363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56.112933456259469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56.112933456259469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-2.8421709430404007E-14</v>
      </c>
      <c r="AJ148" s="13">
        <f>AI148*VLOOKUP('Données projet'!$B$10,Paramètres!$A$1:$I$89,3,0)*VLOOKUP('Données projet'!$B$10,Paramètres!$A$1:$I$89,5,0)</f>
        <v>-3.0593128030886874E-14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150.9416300233616</v>
      </c>
      <c r="AO148" s="59">
        <f t="shared" si="144"/>
        <v>92.286636088269972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27.27691890564693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27.27691890564693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-2.8421709430404007E-14</v>
      </c>
      <c r="BE148" s="13">
        <f>BD148*VLOOKUP('Données projet'!$B$11,Paramètres!$A$1:$I$89,3,0)*VLOOKUP('Données projet'!$B$11,Paramètres!$A$1:$I$89,5,0)</f>
        <v>-2.7489477361086758E-14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131.02416800340484</v>
      </c>
      <c r="BJ148" s="59">
        <f t="shared" si="146"/>
        <v>79.394119001888555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24.509695248552319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24.509695248552319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-2.8421709430404007E-14</v>
      </c>
      <c r="BZ148" s="13">
        <f>BY148*VLOOKUP('Données projet'!$B$12,Paramètres!$A$1:$I$89,3,0)*VLOOKUP('Données projet'!$B$12,Paramètres!$A$1:$I$89,5,0)</f>
        <v>-2.5715962692629544E-14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119.62076457560073</v>
      </c>
      <c r="CE148" s="59">
        <f t="shared" si="148"/>
        <v>72.011647893875363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22.928424587355384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22.928424587355384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-2.8421709430404007E-14</v>
      </c>
      <c r="CU148" s="17">
        <f>CT148*VLOOKUP('Données projet'!$B$13,Paramètres!$A$1:$I$89,3,0)*VLOOKUP('Données projet'!$B$13,Paramètres!$A$1:$I$89,5,0)</f>
        <v>-3.0593128030886874E-14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150.9416300233616</v>
      </c>
      <c r="CZ148" s="59">
        <f t="shared" si="150"/>
        <v>92.286636088269972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27.27691890564693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27.27691890564693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439.99999999999943</v>
      </c>
      <c r="DP148" s="17">
        <f>DO148*VLOOKUP('Données projet'!$B$14,Paramètres!$A$1:$I$89,3,0)*VLOOKUP('Données projet'!$B$14,Paramètres!$A$1:$I$89,5,0)</f>
        <v>263.11999999999966</v>
      </c>
      <c r="DQ148" s="13">
        <f t="shared" si="151"/>
        <v>63.386973458751953</v>
      </c>
      <c r="DR148" s="20">
        <f t="shared" si="124"/>
        <v>568.66631210732578</v>
      </c>
      <c r="DS148" s="59">
        <f t="shared" si="125"/>
        <v>861.99964544065915</v>
      </c>
      <c r="DT148" s="59">
        <f ca="1">AVERAGE(OFFSET($DS$3,0,0,'Données projet'!$E$14+1,1))-AVERAGE(OFFSET($H$3,0,0,'Données projet'!$E$14+1,1))</f>
        <v>249.22792522076639</v>
      </c>
      <c r="DU148" s="59">
        <f t="shared" si="152"/>
        <v>244.53725944480669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10.819362993351596</v>
      </c>
      <c r="EB148" s="21">
        <f>EXP(-LN(2)/25)*EB147+(1-EXP(-LN(2)/25))/(LN(2)/25)*Calculateur!DW148*Calculateur!DY148*VLOOKUP('Données projet'!$B$14,Paramètres!$A$1:$I$89,3,0)*0.475*44/12</f>
        <v>2.106595969653327</v>
      </c>
      <c r="EC148" s="21">
        <f>EXP(-LN(2)/2)*EC147+(1-EXP(-LN(2)/2))/(LN(2)/2)*DW148*DZ148*VLOOKUP('Données projet'!$B$14,Paramètres!$A$1:$I$89,3,0)*0.475*44/12</f>
        <v>9.53885537879075E-12</v>
      </c>
      <c r="ED148" s="22">
        <f t="shared" si="126"/>
        <v>12.925958963014462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2.2737367544323206E-13</v>
      </c>
      <c r="EK148" s="17">
        <f>EJ148*VLOOKUP('Données projet'!$B$15,Paramètres!$A$1:$I$89,3,0)*VLOOKUP('Données projet'!$B$15,Paramètres!$A$1:$I$89,5,0)</f>
        <v>1.2710188457276673E-13</v>
      </c>
      <c r="EL148" s="13">
        <f t="shared" si="153"/>
        <v>1.856866851063998E-12</v>
      </c>
      <c r="EM148" s="20">
        <f t="shared" si="127"/>
        <v>3.4554122145673649E-12</v>
      </c>
      <c r="EN148" s="59">
        <f t="shared" si="128"/>
        <v>293.33333333333678</v>
      </c>
      <c r="EO148" s="59">
        <f ca="1">AVERAGE(OFFSET($EN$3,0,0,'Données projet'!$E$15+1,1))-AVERAGE(OFFSET($H$3,0,0,'Données projet'!$E$15+1,1))</f>
        <v>313.36787814924116</v>
      </c>
      <c r="EP148" s="59">
        <f t="shared" si="154"/>
        <v>438.72984487610216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45.064436290982179</v>
      </c>
      <c r="EW148" s="21">
        <f>EXP(-LN(2)/25)*EW147+(1-EXP(-LN(2)/25))/(LN(2)/25)*Calculateur!ER148*Calculateur!ET148*VLOOKUP('Données projet'!$B$15,Paramètres!$A$1:$I$89,3,0)*0.475*44/12</f>
        <v>4.4844705304778332</v>
      </c>
      <c r="EX148" s="21">
        <f>EXP(-LN(2)/2)*EX147+(1-EXP(-LN(2)/2))/(LN(2)/2)*ER148*EU148*VLOOKUP('Données projet'!$B$15,Paramètres!$A$1:$I$89,3,0)*0.475*44/12</f>
        <v>1.9056424197300248E-13</v>
      </c>
      <c r="EY148" s="22">
        <f t="shared" si="129"/>
        <v>49.548906821460207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-5.6843418860808015E-14</v>
      </c>
      <c r="O149" s="13">
        <f>N149*VLOOKUP('Données projet'!$B$9,Paramètres!$A$1:$I$89,3,0)*VLOOKUP('Données projet'!$B$9,Paramètres!$A$1:$I$89,5,0)</f>
        <v>-5.1431925385259088E-14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173.91998182168385</v>
      </c>
      <c r="T149" s="59">
        <f t="shared" si="142"/>
        <v>72.011647893875363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55.01259305669214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55.01259305669214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-2.8421709430404007E-14</v>
      </c>
      <c r="AJ149" s="13">
        <f>AI149*VLOOKUP('Données projet'!$B$10,Paramètres!$A$1:$I$89,3,0)*VLOOKUP('Données projet'!$B$10,Paramètres!$A$1:$I$89,5,0)</f>
        <v>-3.0593128030886874E-14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150.9416300233616</v>
      </c>
      <c r="AO149" s="59">
        <f t="shared" si="144"/>
        <v>92.286636088269972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26.74203516318493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26.74203516318493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-2.8421709430404007E-14</v>
      </c>
      <c r="BE149" s="13">
        <f>BD149*VLOOKUP('Données projet'!$B$11,Paramètres!$A$1:$I$89,3,0)*VLOOKUP('Données projet'!$B$11,Paramètres!$A$1:$I$89,5,0)</f>
        <v>-2.7489477361086758E-14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131.02416800340484</v>
      </c>
      <c r="BJ149" s="59">
        <f t="shared" si="146"/>
        <v>79.394119001888555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24.029075074166176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24.029075074166176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-2.8421709430404007E-14</v>
      </c>
      <c r="BZ149" s="13">
        <f>BY149*VLOOKUP('Données projet'!$B$12,Paramètres!$A$1:$I$89,3,0)*VLOOKUP('Données projet'!$B$12,Paramètres!$A$1:$I$89,5,0)</f>
        <v>-2.5715962692629544E-14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119.62076457560073</v>
      </c>
      <c r="CE149" s="59">
        <f t="shared" si="148"/>
        <v>72.011647893875363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22.478812166155443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22.478812166155443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-2.8421709430404007E-14</v>
      </c>
      <c r="CU149" s="17">
        <f>CT149*VLOOKUP('Données projet'!$B$13,Paramètres!$A$1:$I$89,3,0)*VLOOKUP('Données projet'!$B$13,Paramètres!$A$1:$I$89,5,0)</f>
        <v>-3.0593128030886874E-14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150.9416300233616</v>
      </c>
      <c r="CZ149" s="59">
        <f t="shared" si="150"/>
        <v>92.286636088269972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26.74203516318493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26.74203516318493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439.99999999999943</v>
      </c>
      <c r="DP149" s="17">
        <f>DO149*VLOOKUP('Données projet'!$B$14,Paramètres!$A$1:$I$89,3,0)*VLOOKUP('Données projet'!$B$14,Paramètres!$A$1:$I$89,5,0)</f>
        <v>263.11999999999966</v>
      </c>
      <c r="DQ149" s="13">
        <f t="shared" si="151"/>
        <v>63.386973458751953</v>
      </c>
      <c r="DR149" s="20">
        <f t="shared" si="124"/>
        <v>568.66631210732578</v>
      </c>
      <c r="DS149" s="59">
        <f t="shared" si="125"/>
        <v>861.99964544065915</v>
      </c>
      <c r="DT149" s="59">
        <f ca="1">AVERAGE(OFFSET($DS$3,0,0,'Données projet'!$E$14+1,1))-AVERAGE(OFFSET($H$3,0,0,'Données projet'!$E$14+1,1))</f>
        <v>249.22792522076639</v>
      </c>
      <c r="DU149" s="59">
        <f t="shared" si="152"/>
        <v>244.53725944480669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10.607201884211785</v>
      </c>
      <c r="EB149" s="21">
        <f>EXP(-LN(2)/25)*EB148+(1-EXP(-LN(2)/25))/(LN(2)/25)*Calculateur!DW149*Calculateur!DY149*VLOOKUP('Données projet'!$B$14,Paramètres!$A$1:$I$89,3,0)*0.475*44/12</f>
        <v>2.0489909920820892</v>
      </c>
      <c r="EC149" s="21">
        <f>EXP(-LN(2)/2)*EC148+(1-EXP(-LN(2)/2))/(LN(2)/2)*DW149*DZ149*VLOOKUP('Données projet'!$B$14,Paramètres!$A$1:$I$89,3,0)*0.475*44/12</f>
        <v>6.7449893231007129E-12</v>
      </c>
      <c r="ED149" s="22">
        <f t="shared" si="126"/>
        <v>12.656192876300619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2.2737367544323206E-13</v>
      </c>
      <c r="EK149" s="17">
        <f>EJ149*VLOOKUP('Données projet'!$B$15,Paramètres!$A$1:$I$89,3,0)*VLOOKUP('Données projet'!$B$15,Paramètres!$A$1:$I$89,5,0)</f>
        <v>1.2710188457276673E-13</v>
      </c>
      <c r="EL149" s="13">
        <f t="shared" si="153"/>
        <v>1.856866851063998E-12</v>
      </c>
      <c r="EM149" s="20">
        <f t="shared" si="127"/>
        <v>3.4554122145673649E-12</v>
      </c>
      <c r="EN149" s="59">
        <f t="shared" si="128"/>
        <v>293.33333333333678</v>
      </c>
      <c r="EO149" s="59">
        <f ca="1">AVERAGE(OFFSET($EN$3,0,0,'Données projet'!$E$15+1,1))-AVERAGE(OFFSET($H$3,0,0,'Données projet'!$E$15+1,1))</f>
        <v>313.36787814924116</v>
      </c>
      <c r="EP149" s="59">
        <f t="shared" si="154"/>
        <v>438.72984487610216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44.180750181908081</v>
      </c>
      <c r="EW149" s="21">
        <f>EXP(-LN(2)/25)*EW148+(1-EXP(-LN(2)/25))/(LN(2)/25)*Calculateur!ER149*Calculateur!ET149*VLOOKUP('Données projet'!$B$15,Paramètres!$A$1:$I$89,3,0)*0.475*44/12</f>
        <v>4.3618424479938609</v>
      </c>
      <c r="EX149" s="21">
        <f>EXP(-LN(2)/2)*EX148+(1-EXP(-LN(2)/2))/(LN(2)/2)*ER149*EU149*VLOOKUP('Données projet'!$B$15,Paramètres!$A$1:$I$89,3,0)*0.475*44/12</f>
        <v>1.3474926775078416E-13</v>
      </c>
      <c r="EY149" s="22">
        <f t="shared" si="129"/>
        <v>48.542592629902074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-5.6843418860808015E-14</v>
      </c>
      <c r="O150" s="13">
        <f>N150*VLOOKUP('Données projet'!$B$9,Paramètres!$A$1:$I$89,3,0)*VLOOKUP('Données projet'!$B$9,Paramètres!$A$1:$I$89,5,0)</f>
        <v>-5.1431925385259088E-14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173.91998182168385</v>
      </c>
      <c r="T150" s="59">
        <f t="shared" si="142"/>
        <v>72.011647893875363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53.933829661218951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53.933829661218951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-2.8421709430404007E-14</v>
      </c>
      <c r="AJ150" s="13">
        <f>AI150*VLOOKUP('Données projet'!$B$10,Paramètres!$A$1:$I$89,3,0)*VLOOKUP('Données projet'!$B$10,Paramètres!$A$1:$I$89,5,0)</f>
        <v>-3.0593128030886874E-14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150.9416300233616</v>
      </c>
      <c r="AO150" s="59">
        <f t="shared" si="144"/>
        <v>92.286636088269972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26.217640164665742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26.217640164665742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-2.8421709430404007E-14</v>
      </c>
      <c r="BE150" s="13">
        <f>BD150*VLOOKUP('Données projet'!$B$11,Paramètres!$A$1:$I$89,3,0)*VLOOKUP('Données projet'!$B$11,Paramètres!$A$1:$I$89,5,0)</f>
        <v>-2.7489477361086758E-14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131.02416800340484</v>
      </c>
      <c r="BJ150" s="59">
        <f t="shared" si="146"/>
        <v>79.394119001888555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23.557879568250385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23.557879568250385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-2.8421709430404007E-14</v>
      </c>
      <c r="BZ150" s="13">
        <f>BY150*VLOOKUP('Données projet'!$B$12,Paramètres!$A$1:$I$89,3,0)*VLOOKUP('Données projet'!$B$12,Paramètres!$A$1:$I$89,5,0)</f>
        <v>-2.5715962692629544E-14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119.62076457560073</v>
      </c>
      <c r="CE150" s="59">
        <f t="shared" si="148"/>
        <v>72.011647893875363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22.038016370298735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22.038016370298735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-2.8421709430404007E-14</v>
      </c>
      <c r="CU150" s="17">
        <f>CT150*VLOOKUP('Données projet'!$B$13,Paramètres!$A$1:$I$89,3,0)*VLOOKUP('Données projet'!$B$13,Paramètres!$A$1:$I$89,5,0)</f>
        <v>-3.0593128030886874E-14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150.9416300233616</v>
      </c>
      <c r="CZ150" s="59">
        <f t="shared" si="150"/>
        <v>92.286636088269972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26.217640164665742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26.217640164665742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439.99999999999943</v>
      </c>
      <c r="DP150" s="17">
        <f>DO150*VLOOKUP('Données projet'!$B$14,Paramètres!$A$1:$I$89,3,0)*VLOOKUP('Données projet'!$B$14,Paramètres!$A$1:$I$89,5,0)</f>
        <v>263.11999999999966</v>
      </c>
      <c r="DQ150" s="13">
        <f t="shared" si="151"/>
        <v>63.386973458751953</v>
      </c>
      <c r="DR150" s="20">
        <f t="shared" si="124"/>
        <v>568.66631210732578</v>
      </c>
      <c r="DS150" s="59">
        <f t="shared" si="125"/>
        <v>861.99964544065915</v>
      </c>
      <c r="DT150" s="59">
        <f ca="1">AVERAGE(OFFSET($DS$3,0,0,'Données projet'!$E$14+1,1))-AVERAGE(OFFSET($H$3,0,0,'Données projet'!$E$14+1,1))</f>
        <v>249.22792522076639</v>
      </c>
      <c r="DU150" s="59">
        <f t="shared" si="152"/>
        <v>244.53725944480669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10.399201125016706</v>
      </c>
      <c r="EB150" s="21">
        <f>EXP(-LN(2)/25)*EB149+(1-EXP(-LN(2)/25))/(LN(2)/25)*Calculateur!DW150*Calculateur!DY150*VLOOKUP('Données projet'!$B$14,Paramètres!$A$1:$I$89,3,0)*0.475*44/12</f>
        <v>1.9929612256518512</v>
      </c>
      <c r="EC150" s="21">
        <f>EXP(-LN(2)/2)*EC149+(1-EXP(-LN(2)/2))/(LN(2)/2)*DW150*DZ150*VLOOKUP('Données projet'!$B$14,Paramètres!$A$1:$I$89,3,0)*0.475*44/12</f>
        <v>4.769427689395375E-12</v>
      </c>
      <c r="ED150" s="22">
        <f t="shared" si="126"/>
        <v>12.392162350673326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2.2737367544323206E-13</v>
      </c>
      <c r="EK150" s="17">
        <f>EJ150*VLOOKUP('Données projet'!$B$15,Paramètres!$A$1:$I$89,3,0)*VLOOKUP('Données projet'!$B$15,Paramètres!$A$1:$I$89,5,0)</f>
        <v>1.2710188457276673E-13</v>
      </c>
      <c r="EL150" s="13">
        <f t="shared" si="153"/>
        <v>1.856866851063998E-12</v>
      </c>
      <c r="EM150" s="20">
        <f t="shared" si="127"/>
        <v>3.4554122145673649E-12</v>
      </c>
      <c r="EN150" s="59">
        <f t="shared" si="128"/>
        <v>293.33333333333678</v>
      </c>
      <c r="EO150" s="59">
        <f ca="1">AVERAGE(OFFSET($EN$3,0,0,'Données projet'!$E$15+1,1))-AVERAGE(OFFSET($H$3,0,0,'Données projet'!$E$15+1,1))</f>
        <v>313.36787814924116</v>
      </c>
      <c r="EP150" s="59">
        <f t="shared" si="154"/>
        <v>438.72984487610216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43.314392618437623</v>
      </c>
      <c r="EW150" s="21">
        <f>EXP(-LN(2)/25)*EW149+(1-EXP(-LN(2)/25))/(LN(2)/25)*Calculateur!ER150*Calculateur!ET150*VLOOKUP('Données projet'!$B$15,Paramètres!$A$1:$I$89,3,0)*0.475*44/12</f>
        <v>4.2425676368741438</v>
      </c>
      <c r="EX150" s="21">
        <f>EXP(-LN(2)/2)*EX149+(1-EXP(-LN(2)/2))/(LN(2)/2)*ER150*EU150*VLOOKUP('Données projet'!$B$15,Paramètres!$A$1:$I$89,3,0)*0.475*44/12</f>
        <v>9.5282120986501241E-14</v>
      </c>
      <c r="EY150" s="22">
        <f t="shared" si="129"/>
        <v>47.556960255311857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-5.6843418860808015E-14</v>
      </c>
      <c r="O151" s="13">
        <f>N151*VLOOKUP('Données projet'!$B$9,Paramètres!$A$1:$I$89,3,0)*VLOOKUP('Données projet'!$B$9,Paramètres!$A$1:$I$89,5,0)</f>
        <v>-5.1431925385259088E-14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173.91998182168385</v>
      </c>
      <c r="T151" s="59">
        <f t="shared" si="142"/>
        <v>72.011647893875363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52.876220157950293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52.876220157950293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-2.8421709430404007E-14</v>
      </c>
      <c r="AJ151" s="13">
        <f>AI151*VLOOKUP('Données projet'!$B$10,Paramètres!$A$1:$I$89,3,0)*VLOOKUP('Données projet'!$B$10,Paramètres!$A$1:$I$89,5,0)</f>
        <v>-3.0593128030886874E-14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150.9416300233616</v>
      </c>
      <c r="AO151" s="59">
        <f t="shared" si="144"/>
        <v>92.286636088269972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25.703528232218147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25.703528232218147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-2.8421709430404007E-14</v>
      </c>
      <c r="BE151" s="13">
        <f>BD151*VLOOKUP('Données projet'!$B$11,Paramètres!$A$1:$I$89,3,0)*VLOOKUP('Données projet'!$B$11,Paramètres!$A$1:$I$89,5,0)</f>
        <v>-2.7489477361086758E-14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131.02416800340484</v>
      </c>
      <c r="BJ151" s="59">
        <f t="shared" si="146"/>
        <v>79.394119001888555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23.095923918804722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23.095923918804722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-2.8421709430404007E-14</v>
      </c>
      <c r="BZ151" s="13">
        <f>BY151*VLOOKUP('Données projet'!$B$12,Paramètres!$A$1:$I$89,3,0)*VLOOKUP('Données projet'!$B$12,Paramètres!$A$1:$I$89,5,0)</f>
        <v>-2.5715962692629544E-14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119.62076457560073</v>
      </c>
      <c r="CE151" s="59">
        <f t="shared" si="148"/>
        <v>72.011647893875363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21.605864311139889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21.605864311139889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-2.8421709430404007E-14</v>
      </c>
      <c r="CU151" s="17">
        <f>CT151*VLOOKUP('Données projet'!$B$13,Paramètres!$A$1:$I$89,3,0)*VLOOKUP('Données projet'!$B$13,Paramètres!$A$1:$I$89,5,0)</f>
        <v>-3.0593128030886874E-14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150.9416300233616</v>
      </c>
      <c r="CZ151" s="59">
        <f t="shared" si="150"/>
        <v>92.286636088269972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25.703528232218147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25.703528232218147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439.99999999999943</v>
      </c>
      <c r="DP151" s="17">
        <f>DO151*VLOOKUP('Données projet'!$B$14,Paramètres!$A$1:$I$89,3,0)*VLOOKUP('Données projet'!$B$14,Paramètres!$A$1:$I$89,5,0)</f>
        <v>263.11999999999966</v>
      </c>
      <c r="DQ151" s="13">
        <f t="shared" si="151"/>
        <v>63.386973458751953</v>
      </c>
      <c r="DR151" s="20">
        <f t="shared" si="124"/>
        <v>568.66631210732578</v>
      </c>
      <c r="DS151" s="59">
        <f t="shared" si="125"/>
        <v>861.99964544065915</v>
      </c>
      <c r="DT151" s="59">
        <f ca="1">AVERAGE(OFFSET($DS$3,0,0,'Données projet'!$E$14+1,1))-AVERAGE(OFFSET($H$3,0,0,'Données projet'!$E$14+1,1))</f>
        <v>249.22792522076639</v>
      </c>
      <c r="DU151" s="59">
        <f t="shared" si="152"/>
        <v>244.53725944480669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10.195279133841506</v>
      </c>
      <c r="EB151" s="21">
        <f>EXP(-LN(2)/25)*EB150+(1-EXP(-LN(2)/25))/(LN(2)/25)*Calculateur!DW151*Calculateur!DY151*VLOOKUP('Données projet'!$B$14,Paramètres!$A$1:$I$89,3,0)*0.475*44/12</f>
        <v>1.9384635961311254</v>
      </c>
      <c r="EC151" s="21">
        <f>EXP(-LN(2)/2)*EC150+(1-EXP(-LN(2)/2))/(LN(2)/2)*DW151*DZ151*VLOOKUP('Données projet'!$B$14,Paramètres!$A$1:$I$89,3,0)*0.475*44/12</f>
        <v>3.3724946615503564E-12</v>
      </c>
      <c r="ED151" s="22">
        <f t="shared" si="126"/>
        <v>12.133742729976005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2.2737367544323206E-13</v>
      </c>
      <c r="EK151" s="17">
        <f>EJ151*VLOOKUP('Données projet'!$B$15,Paramètres!$A$1:$I$89,3,0)*VLOOKUP('Données projet'!$B$15,Paramètres!$A$1:$I$89,5,0)</f>
        <v>1.2710188457276673E-13</v>
      </c>
      <c r="EL151" s="13">
        <f t="shared" si="153"/>
        <v>1.856866851063998E-12</v>
      </c>
      <c r="EM151" s="20">
        <f t="shared" si="127"/>
        <v>3.4554122145673649E-12</v>
      </c>
      <c r="EN151" s="59">
        <f t="shared" si="128"/>
        <v>293.33333333333678</v>
      </c>
      <c r="EO151" s="59">
        <f ca="1">AVERAGE(OFFSET($EN$3,0,0,'Données projet'!$E$15+1,1))-AVERAGE(OFFSET($H$3,0,0,'Données projet'!$E$15+1,1))</f>
        <v>313.36787814924116</v>
      </c>
      <c r="EP151" s="59">
        <f t="shared" si="154"/>
        <v>438.72984487610216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42.465023798360882</v>
      </c>
      <c r="EW151" s="21">
        <f>EXP(-LN(2)/25)*EW150+(1-EXP(-LN(2)/25))/(LN(2)/25)*Calculateur!ER151*Calculateur!ET151*VLOOKUP('Données projet'!$B$15,Paramètres!$A$1:$I$89,3,0)*0.475*44/12</f>
        <v>4.1265544017368851</v>
      </c>
      <c r="EX151" s="21">
        <f>EXP(-LN(2)/2)*EX150+(1-EXP(-LN(2)/2))/(LN(2)/2)*ER151*EU151*VLOOKUP('Données projet'!$B$15,Paramètres!$A$1:$I$89,3,0)*0.475*44/12</f>
        <v>6.737463387539208E-14</v>
      </c>
      <c r="EY151" s="22">
        <f t="shared" si="129"/>
        <v>46.591578200097828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-5.6843418860808015E-14</v>
      </c>
      <c r="O152" s="13">
        <f>N152*VLOOKUP('Données projet'!$B$9,Paramètres!$A$1:$I$89,3,0)*VLOOKUP('Données projet'!$B$9,Paramètres!$A$1:$I$89,5,0)</f>
        <v>-5.1431925385259088E-14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173.91998182168385</v>
      </c>
      <c r="T152" s="59">
        <f t="shared" si="142"/>
        <v>72.011647893875363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51.839349731962635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51.839349731962635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-2.8421709430404007E-14</v>
      </c>
      <c r="AJ152" s="13">
        <f>AI152*VLOOKUP('Données projet'!$B$10,Paramètres!$A$1:$I$89,3,0)*VLOOKUP('Données projet'!$B$10,Paramètres!$A$1:$I$89,5,0)</f>
        <v>-3.0593128030886874E-14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150.9416300233616</v>
      </c>
      <c r="AO152" s="59">
        <f t="shared" si="144"/>
        <v>92.286636088269972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25.199497721188536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25.199497721188536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-2.8421709430404007E-14</v>
      </c>
      <c r="BE152" s="13">
        <f>BD152*VLOOKUP('Données projet'!$B$11,Paramètres!$A$1:$I$89,3,0)*VLOOKUP('Données projet'!$B$11,Paramètres!$A$1:$I$89,5,0)</f>
        <v>-2.7489477361086758E-14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131.02416800340484</v>
      </c>
      <c r="BJ152" s="59">
        <f t="shared" si="146"/>
        <v>79.394119001888555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22.643026937879565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22.643026937879565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-2.8421709430404007E-14</v>
      </c>
      <c r="BZ152" s="13">
        <f>BY152*VLOOKUP('Données projet'!$B$12,Paramètres!$A$1:$I$89,3,0)*VLOOKUP('Données projet'!$B$12,Paramètres!$A$1:$I$89,5,0)</f>
        <v>-2.5715962692629544E-14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119.62076457560073</v>
      </c>
      <c r="CE152" s="59">
        <f t="shared" si="148"/>
        <v>72.011647893875363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21.182186490274418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21.182186490274418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-2.8421709430404007E-14</v>
      </c>
      <c r="CU152" s="17">
        <f>CT152*VLOOKUP('Données projet'!$B$13,Paramètres!$A$1:$I$89,3,0)*VLOOKUP('Données projet'!$B$13,Paramètres!$A$1:$I$89,5,0)</f>
        <v>-3.0593128030886874E-14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150.9416300233616</v>
      </c>
      <c r="CZ152" s="59">
        <f t="shared" si="150"/>
        <v>92.286636088269972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25.199497721188536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25.199497721188536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439.99999999999943</v>
      </c>
      <c r="DP152" s="17">
        <f>DO152*VLOOKUP('Données projet'!$B$14,Paramètres!$A$1:$I$89,3,0)*VLOOKUP('Données projet'!$B$14,Paramètres!$A$1:$I$89,5,0)</f>
        <v>263.11999999999966</v>
      </c>
      <c r="DQ152" s="13">
        <f t="shared" si="151"/>
        <v>63.386973458751953</v>
      </c>
      <c r="DR152" s="20">
        <f t="shared" si="124"/>
        <v>568.66631210732578</v>
      </c>
      <c r="DS152" s="59">
        <f t="shared" si="125"/>
        <v>861.99964544065915</v>
      </c>
      <c r="DT152" s="59">
        <f ca="1">AVERAGE(OFFSET($DS$3,0,0,'Données projet'!$E$14+1,1))-AVERAGE(OFFSET($H$3,0,0,'Données projet'!$E$14+1,1))</f>
        <v>249.22792522076639</v>
      </c>
      <c r="DU152" s="59">
        <f t="shared" si="152"/>
        <v>244.53725944480669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9.9953559285331188</v>
      </c>
      <c r="EB152" s="21">
        <f>EXP(-LN(2)/25)*EB151+(1-EXP(-LN(2)/25))/(LN(2)/25)*Calculateur!DW152*Calculateur!DY152*VLOOKUP('Données projet'!$B$14,Paramètres!$A$1:$I$89,3,0)*0.475*44/12</f>
        <v>1.8854562071555496</v>
      </c>
      <c r="EC152" s="21">
        <f>EXP(-LN(2)/2)*EC151+(1-EXP(-LN(2)/2))/(LN(2)/2)*DW152*DZ152*VLOOKUP('Données projet'!$B$14,Paramètres!$A$1:$I$89,3,0)*0.475*44/12</f>
        <v>2.3847138446976875E-12</v>
      </c>
      <c r="ED152" s="22">
        <f t="shared" si="126"/>
        <v>11.880812135691052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2.2737367544323206E-13</v>
      </c>
      <c r="EK152" s="17">
        <f>EJ152*VLOOKUP('Données projet'!$B$15,Paramètres!$A$1:$I$89,3,0)*VLOOKUP('Données projet'!$B$15,Paramètres!$A$1:$I$89,5,0)</f>
        <v>1.2710188457276673E-13</v>
      </c>
      <c r="EL152" s="13">
        <f t="shared" si="153"/>
        <v>1.856866851063998E-12</v>
      </c>
      <c r="EM152" s="20">
        <f t="shared" si="127"/>
        <v>3.4554122145673649E-12</v>
      </c>
      <c r="EN152" s="59">
        <f t="shared" si="128"/>
        <v>293.33333333333678</v>
      </c>
      <c r="EO152" s="59">
        <f ca="1">AVERAGE(OFFSET($EN$3,0,0,'Données projet'!$E$15+1,1))-AVERAGE(OFFSET($H$3,0,0,'Données projet'!$E$15+1,1))</f>
        <v>313.36787814924116</v>
      </c>
      <c r="EP152" s="59">
        <f t="shared" si="154"/>
        <v>438.72984487610216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41.632310582782019</v>
      </c>
      <c r="EW152" s="21">
        <f>EXP(-LN(2)/25)*EW151+(1-EXP(-LN(2)/25))/(LN(2)/25)*Calculateur!ER152*Calculateur!ET152*VLOOKUP('Données projet'!$B$15,Paramètres!$A$1:$I$89,3,0)*0.475*44/12</f>
        <v>4.0137135546153253</v>
      </c>
      <c r="EX152" s="21">
        <f>EXP(-LN(2)/2)*EX151+(1-EXP(-LN(2)/2))/(LN(2)/2)*ER152*EU152*VLOOKUP('Données projet'!$B$15,Paramètres!$A$1:$I$89,3,0)*0.475*44/12</f>
        <v>4.7641060493250621E-14</v>
      </c>
      <c r="EY152" s="22">
        <f t="shared" si="129"/>
        <v>45.646024137397397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-5.6843418860808015E-14</v>
      </c>
      <c r="O153" s="13">
        <f>N153*VLOOKUP('Données projet'!$B$9,Paramètres!$A$1:$I$89,3,0)*VLOOKUP('Données projet'!$B$9,Paramètres!$A$1:$I$89,5,0)</f>
        <v>-5.1431925385259088E-14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173.91998182168385</v>
      </c>
      <c r="T153" s="59">
        <f t="shared" si="142"/>
        <v>72.011647893875363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50.822811702600077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50.822811702600077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-2.8421709430404007E-14</v>
      </c>
      <c r="AJ153" s="13">
        <f>AI153*VLOOKUP('Données projet'!$B$10,Paramètres!$A$1:$I$89,3,0)*VLOOKUP('Données projet'!$B$10,Paramètres!$A$1:$I$89,5,0)</f>
        <v>-3.0593128030886874E-14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150.9416300233616</v>
      </c>
      <c r="AO153" s="59">
        <f t="shared" si="144"/>
        <v>92.286636088269972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24.705350941051961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24.705350941051961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-2.8421709430404007E-14</v>
      </c>
      <c r="BE153" s="13">
        <f>BD153*VLOOKUP('Données projet'!$B$11,Paramètres!$A$1:$I$89,3,0)*VLOOKUP('Données projet'!$B$11,Paramètres!$A$1:$I$89,5,0)</f>
        <v>-2.7489477361086758E-14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131.02416800340484</v>
      </c>
      <c r="BJ153" s="59">
        <f t="shared" si="146"/>
        <v>79.394119001888555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22.199010990510466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22.199010990510466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-2.8421709430404007E-14</v>
      </c>
      <c r="BZ153" s="13">
        <f>BY153*VLOOKUP('Données projet'!$B$12,Paramètres!$A$1:$I$89,3,0)*VLOOKUP('Données projet'!$B$12,Paramètres!$A$1:$I$89,5,0)</f>
        <v>-2.5715962692629544E-14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119.62076457560073</v>
      </c>
      <c r="CE153" s="59">
        <f t="shared" si="148"/>
        <v>72.011647893875363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20.766816733058167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20.766816733058167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-2.8421709430404007E-14</v>
      </c>
      <c r="CU153" s="17">
        <f>CT153*VLOOKUP('Données projet'!$B$13,Paramètres!$A$1:$I$89,3,0)*VLOOKUP('Données projet'!$B$13,Paramètres!$A$1:$I$89,5,0)</f>
        <v>-3.0593128030886874E-14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150.9416300233616</v>
      </c>
      <c r="CZ153" s="59">
        <f t="shared" si="150"/>
        <v>92.286636088269972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24.705350941051961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24.705350941051961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439.99999999999943</v>
      </c>
      <c r="DP153" s="17">
        <f>DO153*VLOOKUP('Données projet'!$B$14,Paramètres!$A$1:$I$89,3,0)*VLOOKUP('Données projet'!$B$14,Paramètres!$A$1:$I$89,5,0)</f>
        <v>263.11999999999966</v>
      </c>
      <c r="DQ153" s="13">
        <f t="shared" si="151"/>
        <v>63.386973458751953</v>
      </c>
      <c r="DR153" s="20">
        <f t="shared" si="124"/>
        <v>568.66631210732578</v>
      </c>
      <c r="DS153" s="59">
        <f t="shared" si="125"/>
        <v>861.99964544065915</v>
      </c>
      <c r="DT153" s="59">
        <f ca="1">AVERAGE(OFFSET($DS$3,0,0,'Données projet'!$E$14+1,1))-AVERAGE(OFFSET($H$3,0,0,'Données projet'!$E$14+1,1))</f>
        <v>249.22792522076639</v>
      </c>
      <c r="DU153" s="59">
        <f t="shared" si="152"/>
        <v>244.53725944480669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9.7993530953397148</v>
      </c>
      <c r="EB153" s="21">
        <f>EXP(-LN(2)/25)*EB152+(1-EXP(-LN(2)/25))/(LN(2)/25)*Calculateur!DW153*Calculateur!DY153*VLOOKUP('Données projet'!$B$14,Paramètres!$A$1:$I$89,3,0)*0.475*44/12</f>
        <v>1.8338983080190485</v>
      </c>
      <c r="EC153" s="21">
        <f>EXP(-LN(2)/2)*EC152+(1-EXP(-LN(2)/2))/(LN(2)/2)*DW153*DZ153*VLOOKUP('Données projet'!$B$14,Paramètres!$A$1:$I$89,3,0)*0.475*44/12</f>
        <v>1.6862473307751782E-12</v>
      </c>
      <c r="ED153" s="22">
        <f t="shared" si="126"/>
        <v>11.633251403360449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2.2737367544323206E-13</v>
      </c>
      <c r="EK153" s="17">
        <f>EJ153*VLOOKUP('Données projet'!$B$15,Paramètres!$A$1:$I$89,3,0)*VLOOKUP('Données projet'!$B$15,Paramètres!$A$1:$I$89,5,0)</f>
        <v>1.2710188457276673E-13</v>
      </c>
      <c r="EL153" s="13">
        <f t="shared" si="153"/>
        <v>1.856866851063998E-12</v>
      </c>
      <c r="EM153" s="20">
        <f t="shared" si="127"/>
        <v>3.4554122145673649E-12</v>
      </c>
      <c r="EN153" s="59">
        <f t="shared" si="128"/>
        <v>293.33333333333678</v>
      </c>
      <c r="EO153" s="59">
        <f ca="1">AVERAGE(OFFSET($EN$3,0,0,'Données projet'!$E$15+1,1))-AVERAGE(OFFSET($H$3,0,0,'Données projet'!$E$15+1,1))</f>
        <v>313.36787814924116</v>
      </c>
      <c r="EP153" s="59">
        <f t="shared" si="154"/>
        <v>438.72984487610216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40.815926365455745</v>
      </c>
      <c r="EW153" s="21">
        <f>EXP(-LN(2)/25)*EW152+(1-EXP(-LN(2)/25))/(LN(2)/25)*Calculateur!ER153*Calculateur!ET153*VLOOKUP('Données projet'!$B$15,Paramètres!$A$1:$I$89,3,0)*0.475*44/12</f>
        <v>3.9039583463923471</v>
      </c>
      <c r="EX153" s="21">
        <f>EXP(-LN(2)/2)*EX152+(1-EXP(-LN(2)/2))/(LN(2)/2)*ER153*EU153*VLOOKUP('Données projet'!$B$15,Paramètres!$A$1:$I$89,3,0)*0.475*44/12</f>
        <v>3.368731693769604E-14</v>
      </c>
      <c r="EY153" s="22">
        <f t="shared" si="129"/>
        <v>44.719884711848131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-5.6843418860808015E-14</v>
      </c>
      <c r="O154" s="13">
        <f>N154*VLOOKUP('Données projet'!$B$9,Paramètres!$A$1:$I$89,3,0)*VLOOKUP('Données projet'!$B$9,Paramètres!$A$1:$I$89,5,0)</f>
        <v>-5.1431925385259088E-14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173.91998182168385</v>
      </c>
      <c r="T154" s="59">
        <f t="shared" si="142"/>
        <v>72.011647893875363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49.826207363966347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49.826207363966347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-2.8421709430404007E-14</v>
      </c>
      <c r="AJ154" s="13">
        <f>AI154*VLOOKUP('Données projet'!$B$10,Paramètres!$A$1:$I$89,3,0)*VLOOKUP('Données projet'!$B$10,Paramètres!$A$1:$I$89,5,0)</f>
        <v>-3.0593128030886874E-14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150.9416300233616</v>
      </c>
      <c r="AO154" s="59">
        <f t="shared" si="144"/>
        <v>92.286636088269972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24.220894077874089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24.220894077874089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-2.8421709430404007E-14</v>
      </c>
      <c r="BE154" s="13">
        <f>BD154*VLOOKUP('Données projet'!$B$11,Paramètres!$A$1:$I$89,3,0)*VLOOKUP('Données projet'!$B$11,Paramètres!$A$1:$I$89,5,0)</f>
        <v>-2.7489477361086758E-14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131.02416800340484</v>
      </c>
      <c r="BJ154" s="59">
        <f t="shared" si="146"/>
        <v>79.394119001888555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21.763701925046291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21.763701925046291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-2.8421709430404007E-14</v>
      </c>
      <c r="BZ154" s="13">
        <f>BY154*VLOOKUP('Données projet'!$B$12,Paramètres!$A$1:$I$89,3,0)*VLOOKUP('Données projet'!$B$12,Paramètres!$A$1:$I$89,5,0)</f>
        <v>-2.5715962692629544E-14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119.62076457560073</v>
      </c>
      <c r="CE154" s="59">
        <f t="shared" si="148"/>
        <v>72.011647893875363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20.359592123430389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20.359592123430389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-2.8421709430404007E-14</v>
      </c>
      <c r="CU154" s="17">
        <f>CT154*VLOOKUP('Données projet'!$B$13,Paramètres!$A$1:$I$89,3,0)*VLOOKUP('Données projet'!$B$13,Paramètres!$A$1:$I$89,5,0)</f>
        <v>-3.0593128030886874E-14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150.9416300233616</v>
      </c>
      <c r="CZ154" s="59">
        <f t="shared" si="150"/>
        <v>92.286636088269972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24.220894077874089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24.220894077874089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439.99999999999943</v>
      </c>
      <c r="DP154" s="17">
        <f>DO154*VLOOKUP('Données projet'!$B$14,Paramètres!$A$1:$I$89,3,0)*VLOOKUP('Données projet'!$B$14,Paramètres!$A$1:$I$89,5,0)</f>
        <v>263.11999999999966</v>
      </c>
      <c r="DQ154" s="13">
        <f t="shared" ref="DQ154:DQ203" si="176">EXP(-1.0587+0.8836*LN(DP154)+0.284)</f>
        <v>63.386973458751953</v>
      </c>
      <c r="DR154" s="20">
        <f t="shared" ref="DR154:DR203" si="177">(DP154+DQ154)*0.475*44/12</f>
        <v>568.66631210732578</v>
      </c>
      <c r="DS154" s="59">
        <f t="shared" si="125"/>
        <v>861.99964544065915</v>
      </c>
      <c r="DT154" s="59">
        <f ca="1">AVERAGE(OFFSET($DS$3,0,0,'Données projet'!$E$14+1,1))-AVERAGE(OFFSET($H$3,0,0,'Données projet'!$E$14+1,1))</f>
        <v>249.22792522076639</v>
      </c>
      <c r="DU154" s="59">
        <f t="shared" si="152"/>
        <v>244.53725944480669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9.6071937581553097</v>
      </c>
      <c r="EB154" s="21">
        <f>EXP(-LN(2)/25)*EB153+(1-EXP(-LN(2)/25))/(LN(2)/25)*Calculateur!DW154*Calculateur!DY154*VLOOKUP('Données projet'!$B$14,Paramètres!$A$1:$I$89,3,0)*0.475*44/12</f>
        <v>1.7837502623457471</v>
      </c>
      <c r="EC154" s="21">
        <f>EXP(-LN(2)/2)*EC153+(1-EXP(-LN(2)/2))/(LN(2)/2)*DW154*DZ154*VLOOKUP('Données projet'!$B$14,Paramètres!$A$1:$I$89,3,0)*0.475*44/12</f>
        <v>1.1923569223488438E-12</v>
      </c>
      <c r="ED154" s="22">
        <f t="shared" ref="ED154:ED203" si="178">SUM(EA154:EC154)</f>
        <v>11.390944020502248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2.2737367544323206E-13</v>
      </c>
      <c r="EK154" s="17">
        <f>EJ154*VLOOKUP('Données projet'!$B$15,Paramètres!$A$1:$I$89,3,0)*VLOOKUP('Données projet'!$B$15,Paramètres!$A$1:$I$89,5,0)</f>
        <v>1.2710188457276673E-13</v>
      </c>
      <c r="EL154" s="13">
        <f t="shared" ref="EL154:EL203" si="179">EXP(-1.0587+0.8836*LN(EK154)+0.284)</f>
        <v>1.856866851063998E-12</v>
      </c>
      <c r="EM154" s="20">
        <f t="shared" ref="EM154:EM203" si="180">(EK154+EL154)*0.475*44/12</f>
        <v>3.4554122145673649E-12</v>
      </c>
      <c r="EN154" s="59">
        <f t="shared" si="128"/>
        <v>293.33333333333678</v>
      </c>
      <c r="EO154" s="59">
        <f ca="1">AVERAGE(OFFSET($EN$3,0,0,'Données projet'!$E$15+1,1))-AVERAGE(OFFSET($H$3,0,0,'Données projet'!$E$15+1,1))</f>
        <v>313.36787814924116</v>
      </c>
      <c r="EP154" s="59">
        <f t="shared" si="154"/>
        <v>438.72984487610216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40.015550944686041</v>
      </c>
      <c r="EW154" s="21">
        <f>EXP(-LN(2)/25)*EW153+(1-EXP(-LN(2)/25))/(LN(2)/25)*Calculateur!ER154*Calculateur!ET154*VLOOKUP('Données projet'!$B$15,Paramètres!$A$1:$I$89,3,0)*0.475*44/12</f>
        <v>3.7972044001100014</v>
      </c>
      <c r="EX154" s="21">
        <f>EXP(-LN(2)/2)*EX153+(1-EXP(-LN(2)/2))/(LN(2)/2)*ER154*EU154*VLOOKUP('Données projet'!$B$15,Paramètres!$A$1:$I$89,3,0)*0.475*44/12</f>
        <v>2.382053024662531E-14</v>
      </c>
      <c r="EY154" s="22">
        <f t="shared" ref="EY154:EY203" si="181">SUM(EV154:EX154)</f>
        <v>43.812755344796066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-5.6843418860808015E-14</v>
      </c>
      <c r="O155" s="13">
        <f>N155*VLOOKUP('Données projet'!$B$9,Paramètres!$A$1:$I$89,3,0)*VLOOKUP('Données projet'!$B$9,Paramètres!$A$1:$I$89,5,0)</f>
        <v>-5.1431925385259088E-14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173.91998182168385</v>
      </c>
      <c r="T155" s="59">
        <f t="shared" si="142"/>
        <v>72.011647893875363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48.8491458285446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48.8491458285446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-2.8421709430404007E-14</v>
      </c>
      <c r="AJ155" s="13">
        <f>AI155*VLOOKUP('Données projet'!$B$10,Paramètres!$A$1:$I$89,3,0)*VLOOKUP('Données projet'!$B$10,Paramètres!$A$1:$I$89,5,0)</f>
        <v>-3.0593128030886874E-14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150.9416300233616</v>
      </c>
      <c r="AO155" s="59">
        <f t="shared" si="144"/>
        <v>92.286636088269972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23.745937118293625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23.745937118293625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-2.8421709430404007E-14</v>
      </c>
      <c r="BE155" s="13">
        <f>BD155*VLOOKUP('Données projet'!$B$11,Paramètres!$A$1:$I$89,3,0)*VLOOKUP('Données projet'!$B$11,Paramètres!$A$1:$I$89,5,0)</f>
        <v>-2.7489477361086758E-14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131.02416800340484</v>
      </c>
      <c r="BJ155" s="59">
        <f t="shared" si="146"/>
        <v>79.394119001888555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21.336929004843554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21.336929004843554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-2.8421709430404007E-14</v>
      </c>
      <c r="BZ155" s="13">
        <f>BY155*VLOOKUP('Données projet'!$B$12,Paramètres!$A$1:$I$89,3,0)*VLOOKUP('Données projet'!$B$12,Paramètres!$A$1:$I$89,5,0)</f>
        <v>-2.5715962692629544E-14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119.62076457560073</v>
      </c>
      <c r="CE155" s="59">
        <f t="shared" si="148"/>
        <v>72.011647893875363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19.960352940014925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19.960352940014925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-2.8421709430404007E-14</v>
      </c>
      <c r="CU155" s="17">
        <f>CT155*VLOOKUP('Données projet'!$B$13,Paramètres!$A$1:$I$89,3,0)*VLOOKUP('Données projet'!$B$13,Paramètres!$A$1:$I$89,5,0)</f>
        <v>-3.0593128030886874E-14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150.9416300233616</v>
      </c>
      <c r="CZ155" s="59">
        <f t="shared" si="150"/>
        <v>92.286636088269972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23.745937118293625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23.745937118293625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439.99999999999943</v>
      </c>
      <c r="DP155" s="17">
        <f>DO155*VLOOKUP('Données projet'!$B$14,Paramètres!$A$1:$I$89,3,0)*VLOOKUP('Données projet'!$B$14,Paramètres!$A$1:$I$89,5,0)</f>
        <v>263.11999999999966</v>
      </c>
      <c r="DQ155" s="13">
        <f t="shared" si="176"/>
        <v>63.386973458751953</v>
      </c>
      <c r="DR155" s="20">
        <f t="shared" si="177"/>
        <v>568.66631210732578</v>
      </c>
      <c r="DS155" s="59">
        <f t="shared" si="125"/>
        <v>861.99964544065915</v>
      </c>
      <c r="DT155" s="59">
        <f ca="1">AVERAGE(OFFSET($DS$3,0,0,'Données projet'!$E$14+1,1))-AVERAGE(OFFSET($H$3,0,0,'Données projet'!$E$14+1,1))</f>
        <v>249.22792522076639</v>
      </c>
      <c r="DU155" s="59">
        <f t="shared" si="152"/>
        <v>244.53725944480669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9.4188025483674682</v>
      </c>
      <c r="EB155" s="21">
        <f>EXP(-LN(2)/25)*EB154+(1-EXP(-LN(2)/25))/(LN(2)/25)*Calculateur!DW155*Calculateur!DY155*VLOOKUP('Données projet'!$B$14,Paramètres!$A$1:$I$89,3,0)*0.475*44/12</f>
        <v>1.7349735176185532</v>
      </c>
      <c r="EC155" s="21">
        <f>EXP(-LN(2)/2)*EC154+(1-EXP(-LN(2)/2))/(LN(2)/2)*DW155*DZ155*VLOOKUP('Données projet'!$B$14,Paramètres!$A$1:$I$89,3,0)*0.475*44/12</f>
        <v>8.4312366538758911E-13</v>
      </c>
      <c r="ED155" s="22">
        <f t="shared" si="178"/>
        <v>11.153776065986865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2.2737367544323206E-13</v>
      </c>
      <c r="EK155" s="17">
        <f>EJ155*VLOOKUP('Données projet'!$B$15,Paramètres!$A$1:$I$89,3,0)*VLOOKUP('Données projet'!$B$15,Paramètres!$A$1:$I$89,5,0)</f>
        <v>1.2710188457276673E-13</v>
      </c>
      <c r="EL155" s="13">
        <f t="shared" si="179"/>
        <v>1.856866851063998E-12</v>
      </c>
      <c r="EM155" s="20">
        <f t="shared" si="180"/>
        <v>3.4554122145673649E-12</v>
      </c>
      <c r="EN155" s="59">
        <f t="shared" si="128"/>
        <v>293.33333333333678</v>
      </c>
      <c r="EO155" s="59">
        <f ca="1">AVERAGE(OFFSET($EN$3,0,0,'Données projet'!$E$15+1,1))-AVERAGE(OFFSET($H$3,0,0,'Données projet'!$E$15+1,1))</f>
        <v>313.36787814924116</v>
      </c>
      <c r="EP155" s="59">
        <f t="shared" si="154"/>
        <v>438.72984487610216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39.230870397736822</v>
      </c>
      <c r="EW155" s="21">
        <f>EXP(-LN(2)/25)*EW154+(1-EXP(-LN(2)/25))/(LN(2)/25)*Calculateur!ER155*Calculateur!ET155*VLOOKUP('Données projet'!$B$15,Paramètres!$A$1:$I$89,3,0)*0.475*44/12</f>
        <v>3.6933696461026928</v>
      </c>
      <c r="EX155" s="21">
        <f>EXP(-LN(2)/2)*EX154+(1-EXP(-LN(2)/2))/(LN(2)/2)*ER155*EU155*VLOOKUP('Données projet'!$B$15,Paramètres!$A$1:$I$89,3,0)*0.475*44/12</f>
        <v>1.684365846884802E-14</v>
      </c>
      <c r="EY155" s="22">
        <f t="shared" si="181"/>
        <v>42.924240043839532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-5.6843418860808015E-14</v>
      </c>
      <c r="O156" s="13">
        <f>N156*VLOOKUP('Données projet'!$B$9,Paramètres!$A$1:$I$89,3,0)*VLOOKUP('Données projet'!$B$9,Paramètres!$A$1:$I$89,5,0)</f>
        <v>-5.1431925385259088E-14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173.91998182168385</v>
      </c>
      <c r="T156" s="59">
        <f t="shared" si="142"/>
        <v>72.011647893875363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47.891243873883781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47.891243873883781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-2.8421709430404007E-14</v>
      </c>
      <c r="AJ156" s="13">
        <f>AI156*VLOOKUP('Données projet'!$B$10,Paramètres!$A$1:$I$89,3,0)*VLOOKUP('Données projet'!$B$10,Paramètres!$A$1:$I$89,5,0)</f>
        <v>-3.0593128030886874E-14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150.9416300233616</v>
      </c>
      <c r="AO156" s="59">
        <f t="shared" si="144"/>
        <v>92.286636088269972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23.280293774995393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23.280293774995393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-2.8421709430404007E-14</v>
      </c>
      <c r="BE156" s="13">
        <f>BD156*VLOOKUP('Données projet'!$B$11,Paramètres!$A$1:$I$89,3,0)*VLOOKUP('Données projet'!$B$11,Paramètres!$A$1:$I$89,5,0)</f>
        <v>-2.7489477361086758E-14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131.02416800340484</v>
      </c>
      <c r="BJ156" s="59">
        <f t="shared" si="146"/>
        <v>79.394119001888555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20.918524841300215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20.918524841300215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-2.8421709430404007E-14</v>
      </c>
      <c r="BZ156" s="13">
        <f>BY156*VLOOKUP('Données projet'!$B$12,Paramètres!$A$1:$I$89,3,0)*VLOOKUP('Données projet'!$B$12,Paramètres!$A$1:$I$89,5,0)</f>
        <v>-2.5715962692629544E-14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119.62076457560073</v>
      </c>
      <c r="CE156" s="59">
        <f t="shared" si="148"/>
        <v>72.011647893875363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19.568942593474382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19.568942593474382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-2.8421709430404007E-14</v>
      </c>
      <c r="CU156" s="17">
        <f>CT156*VLOOKUP('Données projet'!$B$13,Paramètres!$A$1:$I$89,3,0)*VLOOKUP('Données projet'!$B$13,Paramètres!$A$1:$I$89,5,0)</f>
        <v>-3.0593128030886874E-14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150.9416300233616</v>
      </c>
      <c r="CZ156" s="59">
        <f t="shared" si="150"/>
        <v>92.286636088269972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23.280293774995393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23.280293774995393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439.99999999999943</v>
      </c>
      <c r="DP156" s="17">
        <f>DO156*VLOOKUP('Données projet'!$B$14,Paramètres!$A$1:$I$89,3,0)*VLOOKUP('Données projet'!$B$14,Paramètres!$A$1:$I$89,5,0)</f>
        <v>263.11999999999966</v>
      </c>
      <c r="DQ156" s="13">
        <f t="shared" si="176"/>
        <v>63.386973458751953</v>
      </c>
      <c r="DR156" s="20">
        <f t="shared" si="177"/>
        <v>568.66631210732578</v>
      </c>
      <c r="DS156" s="59">
        <f t="shared" si="125"/>
        <v>861.99964544065915</v>
      </c>
      <c r="DT156" s="59">
        <f ca="1">AVERAGE(OFFSET($DS$3,0,0,'Données projet'!$E$14+1,1))-AVERAGE(OFFSET($H$3,0,0,'Données projet'!$E$14+1,1))</f>
        <v>249.22792522076639</v>
      </c>
      <c r="DU156" s="59">
        <f t="shared" si="152"/>
        <v>244.53725944480669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9.2341055752962742</v>
      </c>
      <c r="EB156" s="21">
        <f>EXP(-LN(2)/25)*EB155+(1-EXP(-LN(2)/25))/(LN(2)/25)*Calculateur!DW156*Calculateur!DY156*VLOOKUP('Données projet'!$B$14,Paramètres!$A$1:$I$89,3,0)*0.475*44/12</f>
        <v>1.687530575540982</v>
      </c>
      <c r="EC156" s="21">
        <f>EXP(-LN(2)/2)*EC155+(1-EXP(-LN(2)/2))/(LN(2)/2)*DW156*DZ156*VLOOKUP('Données projet'!$B$14,Paramètres!$A$1:$I$89,3,0)*0.475*44/12</f>
        <v>5.9617846117442188E-13</v>
      </c>
      <c r="ED156" s="22">
        <f t="shared" si="178"/>
        <v>10.921636150837854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2.2737367544323206E-13</v>
      </c>
      <c r="EK156" s="17">
        <f>EJ156*VLOOKUP('Données projet'!$B$15,Paramètres!$A$1:$I$89,3,0)*VLOOKUP('Données projet'!$B$15,Paramètres!$A$1:$I$89,5,0)</f>
        <v>1.2710188457276673E-13</v>
      </c>
      <c r="EL156" s="13">
        <f t="shared" si="179"/>
        <v>1.856866851063998E-12</v>
      </c>
      <c r="EM156" s="20">
        <f t="shared" si="180"/>
        <v>3.4554122145673649E-12</v>
      </c>
      <c r="EN156" s="59">
        <f t="shared" si="128"/>
        <v>293.33333333333678</v>
      </c>
      <c r="EO156" s="59">
        <f ca="1">AVERAGE(OFFSET($EN$3,0,0,'Données projet'!$E$15+1,1))-AVERAGE(OFFSET($H$3,0,0,'Données projet'!$E$15+1,1))</f>
        <v>313.36787814924116</v>
      </c>
      <c r="EP156" s="59">
        <f t="shared" si="154"/>
        <v>438.72984487610216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38.461576957705404</v>
      </c>
      <c r="EW156" s="21">
        <f>EXP(-LN(2)/25)*EW155+(1-EXP(-LN(2)/25))/(LN(2)/25)*Calculateur!ER156*Calculateur!ET156*VLOOKUP('Données projet'!$B$15,Paramètres!$A$1:$I$89,3,0)*0.475*44/12</f>
        <v>3.5923742589041461</v>
      </c>
      <c r="EX156" s="21">
        <f>EXP(-LN(2)/2)*EX155+(1-EXP(-LN(2)/2))/(LN(2)/2)*ER156*EU156*VLOOKUP('Données projet'!$B$15,Paramètres!$A$1:$I$89,3,0)*0.475*44/12</f>
        <v>1.1910265123312655E-14</v>
      </c>
      <c r="EY156" s="22">
        <f t="shared" si="181"/>
        <v>42.053951216609562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-5.6843418860808015E-14</v>
      </c>
      <c r="O157" s="13">
        <f>N157*VLOOKUP('Données projet'!$B$9,Paramètres!$A$1:$I$89,3,0)*VLOOKUP('Données projet'!$B$9,Paramètres!$A$1:$I$89,5,0)</f>
        <v>-5.1431925385259088E-14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173.91998182168385</v>
      </c>
      <c r="T157" s="59">
        <f t="shared" si="142"/>
        <v>72.011647893875363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46.952125792291355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46.952125792291355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-2.8421709430404007E-14</v>
      </c>
      <c r="AJ157" s="13">
        <f>AI157*VLOOKUP('Données projet'!$B$10,Paramètres!$A$1:$I$89,3,0)*VLOOKUP('Données projet'!$B$10,Paramètres!$A$1:$I$89,5,0)</f>
        <v>-3.0593128030886874E-14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150.9416300233616</v>
      </c>
      <c r="AO157" s="59">
        <f t="shared" si="144"/>
        <v>92.286636088269972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22.823781413644845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22.823781413644845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-2.8421709430404007E-14</v>
      </c>
      <c r="BE157" s="13">
        <f>BD157*VLOOKUP('Données projet'!$B$11,Paramètres!$A$1:$I$89,3,0)*VLOOKUP('Données projet'!$B$11,Paramètres!$A$1:$I$89,5,0)</f>
        <v>-2.7489477361086758E-14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131.02416800340484</v>
      </c>
      <c r="BJ157" s="59">
        <f t="shared" si="146"/>
        <v>79.394119001888555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20.50832532820262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20.50832532820262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-2.8421709430404007E-14</v>
      </c>
      <c r="BZ157" s="13">
        <f>BY157*VLOOKUP('Données projet'!$B$12,Paramètres!$A$1:$I$89,3,0)*VLOOKUP('Données projet'!$B$12,Paramètres!$A$1:$I$89,5,0)</f>
        <v>-2.5715962692629544E-14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119.62076457560073</v>
      </c>
      <c r="CE157" s="59">
        <f t="shared" si="148"/>
        <v>72.011647893875363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19.18520756509276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19.18520756509276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-2.8421709430404007E-14</v>
      </c>
      <c r="CU157" s="17">
        <f>CT157*VLOOKUP('Données projet'!$B$13,Paramètres!$A$1:$I$89,3,0)*VLOOKUP('Données projet'!$B$13,Paramètres!$A$1:$I$89,5,0)</f>
        <v>-3.0593128030886874E-14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150.9416300233616</v>
      </c>
      <c r="CZ157" s="59">
        <f t="shared" si="150"/>
        <v>92.286636088269972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22.823781413644845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22.823781413644845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439.99999999999943</v>
      </c>
      <c r="DP157" s="17">
        <f>DO157*VLOOKUP('Données projet'!$B$14,Paramètres!$A$1:$I$89,3,0)*VLOOKUP('Données projet'!$B$14,Paramètres!$A$1:$I$89,5,0)</f>
        <v>263.11999999999966</v>
      </c>
      <c r="DQ157" s="13">
        <f t="shared" si="176"/>
        <v>63.386973458751953</v>
      </c>
      <c r="DR157" s="20">
        <f t="shared" si="177"/>
        <v>568.66631210732578</v>
      </c>
      <c r="DS157" s="59">
        <f t="shared" si="125"/>
        <v>861.99964544065915</v>
      </c>
      <c r="DT157" s="59">
        <f ca="1">AVERAGE(OFFSET($DS$3,0,0,'Données projet'!$E$14+1,1))-AVERAGE(OFFSET($H$3,0,0,'Données projet'!$E$14+1,1))</f>
        <v>249.22792522076639</v>
      </c>
      <c r="DU157" s="59">
        <f t="shared" si="152"/>
        <v>244.53725944480669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9.0530303972129769</v>
      </c>
      <c r="EB157" s="21">
        <f>EXP(-LN(2)/25)*EB156+(1-EXP(-LN(2)/25))/(LN(2)/25)*Calculateur!DW157*Calculateur!DY157*VLOOKUP('Données projet'!$B$14,Paramètres!$A$1:$I$89,3,0)*0.475*44/12</f>
        <v>1.6413849632094377</v>
      </c>
      <c r="EC157" s="21">
        <f>EXP(-LN(2)/2)*EC156+(1-EXP(-LN(2)/2))/(LN(2)/2)*DW157*DZ157*VLOOKUP('Données projet'!$B$14,Paramètres!$A$1:$I$89,3,0)*0.475*44/12</f>
        <v>4.2156183269379455E-13</v>
      </c>
      <c r="ED157" s="22">
        <f t="shared" si="178"/>
        <v>10.694415360422836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2.2737367544323206E-13</v>
      </c>
      <c r="EK157" s="17">
        <f>EJ157*VLOOKUP('Données projet'!$B$15,Paramètres!$A$1:$I$89,3,0)*VLOOKUP('Données projet'!$B$15,Paramètres!$A$1:$I$89,5,0)</f>
        <v>1.2710188457276673E-13</v>
      </c>
      <c r="EL157" s="13">
        <f t="shared" si="179"/>
        <v>1.856866851063998E-12</v>
      </c>
      <c r="EM157" s="20">
        <f t="shared" si="180"/>
        <v>3.4554122145673649E-12</v>
      </c>
      <c r="EN157" s="59">
        <f t="shared" si="128"/>
        <v>293.33333333333678</v>
      </c>
      <c r="EO157" s="59">
        <f ca="1">AVERAGE(OFFSET($EN$3,0,0,'Données projet'!$E$15+1,1))-AVERAGE(OFFSET($H$3,0,0,'Données projet'!$E$15+1,1))</f>
        <v>313.36787814924116</v>
      </c>
      <c r="EP157" s="59">
        <f t="shared" si="154"/>
        <v>438.72984487610216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37.707368892810337</v>
      </c>
      <c r="EW157" s="21">
        <f>EXP(-LN(2)/25)*EW156+(1-EXP(-LN(2)/25))/(LN(2)/25)*Calculateur!ER157*Calculateur!ET157*VLOOKUP('Données projet'!$B$15,Paramètres!$A$1:$I$89,3,0)*0.475*44/12</f>
        <v>3.4941405958796605</v>
      </c>
      <c r="EX157" s="21">
        <f>EXP(-LN(2)/2)*EX156+(1-EXP(-LN(2)/2))/(LN(2)/2)*ER157*EU157*VLOOKUP('Données projet'!$B$15,Paramètres!$A$1:$I$89,3,0)*0.475*44/12</f>
        <v>8.42182923442401E-15</v>
      </c>
      <c r="EY157" s="22">
        <f t="shared" si="181"/>
        <v>41.201509488690007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-5.6843418860808015E-14</v>
      </c>
      <c r="O158" s="13">
        <f>N158*VLOOKUP('Données projet'!$B$9,Paramètres!$A$1:$I$89,3,0)*VLOOKUP('Données projet'!$B$9,Paramètres!$A$1:$I$89,5,0)</f>
        <v>-5.1431925385259088E-14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173.91998182168385</v>
      </c>
      <c r="T158" s="59">
        <f t="shared" si="142"/>
        <v>72.011647893875363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46.03142324347349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46.03142324347349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-2.8421709430404007E-14</v>
      </c>
      <c r="AJ158" s="13">
        <f>AI158*VLOOKUP('Données projet'!$B$10,Paramètres!$A$1:$I$89,3,0)*VLOOKUP('Données projet'!$B$10,Paramètres!$A$1:$I$89,5,0)</f>
        <v>-3.0593128030886874E-14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150.9416300233616</v>
      </c>
      <c r="AO158" s="59">
        <f t="shared" si="144"/>
        <v>92.286636088269972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22.376220981255333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22.376220981255333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-2.8421709430404007E-14</v>
      </c>
      <c r="BE158" s="13">
        <f>BD158*VLOOKUP('Données projet'!$B$11,Paramètres!$A$1:$I$89,3,0)*VLOOKUP('Données projet'!$B$11,Paramètres!$A$1:$I$89,5,0)</f>
        <v>-2.7489477361086758E-14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131.02416800340484</v>
      </c>
      <c r="BJ158" s="59">
        <f t="shared" si="146"/>
        <v>79.394119001888555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20.106169577359871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20.106169577359871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-2.8421709430404007E-14</v>
      </c>
      <c r="BZ158" s="13">
        <f>BY158*VLOOKUP('Données projet'!$B$12,Paramètres!$A$1:$I$89,3,0)*VLOOKUP('Données projet'!$B$12,Paramètres!$A$1:$I$89,5,0)</f>
        <v>-2.5715962692629544E-14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119.62076457560073</v>
      </c>
      <c r="CE158" s="59">
        <f t="shared" si="148"/>
        <v>72.011647893875363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18.808997346562446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18.808997346562446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-2.8421709430404007E-14</v>
      </c>
      <c r="CU158" s="17">
        <f>CT158*VLOOKUP('Données projet'!$B$13,Paramètres!$A$1:$I$89,3,0)*VLOOKUP('Données projet'!$B$13,Paramètres!$A$1:$I$89,5,0)</f>
        <v>-3.0593128030886874E-14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150.9416300233616</v>
      </c>
      <c r="CZ158" s="59">
        <f t="shared" si="150"/>
        <v>92.286636088269972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22.376220981255333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22.376220981255333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439.99999999999943</v>
      </c>
      <c r="DP158" s="17">
        <f>DO158*VLOOKUP('Données projet'!$B$14,Paramètres!$A$1:$I$89,3,0)*VLOOKUP('Données projet'!$B$14,Paramètres!$A$1:$I$89,5,0)</f>
        <v>263.11999999999966</v>
      </c>
      <c r="DQ158" s="13">
        <f t="shared" si="176"/>
        <v>63.386973458751953</v>
      </c>
      <c r="DR158" s="20">
        <f t="shared" si="177"/>
        <v>568.66631210732578</v>
      </c>
      <c r="DS158" s="59">
        <f t="shared" si="125"/>
        <v>861.99964544065915</v>
      </c>
      <c r="DT158" s="59">
        <f ca="1">AVERAGE(OFFSET($DS$3,0,0,'Données projet'!$E$14+1,1))-AVERAGE(OFFSET($H$3,0,0,'Données projet'!$E$14+1,1))</f>
        <v>249.22792522076639</v>
      </c>
      <c r="DU158" s="59">
        <f t="shared" si="152"/>
        <v>244.53725944480669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8.8755059929269393</v>
      </c>
      <c r="EB158" s="21">
        <f>EXP(-LN(2)/25)*EB157+(1-EXP(-LN(2)/25))/(LN(2)/25)*Calculateur!DW158*Calculateur!DY158*VLOOKUP('Données projet'!$B$14,Paramètres!$A$1:$I$89,3,0)*0.475*44/12</f>
        <v>1.5965012050737919</v>
      </c>
      <c r="EC158" s="21">
        <f>EXP(-LN(2)/2)*EC157+(1-EXP(-LN(2)/2))/(LN(2)/2)*DW158*DZ158*VLOOKUP('Données projet'!$B$14,Paramètres!$A$1:$I$89,3,0)*0.475*44/12</f>
        <v>2.9808923058721094E-13</v>
      </c>
      <c r="ED158" s="22">
        <f t="shared" si="178"/>
        <v>10.47200719800103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2.2737367544323206E-13</v>
      </c>
      <c r="EK158" s="17">
        <f>EJ158*VLOOKUP('Données projet'!$B$15,Paramètres!$A$1:$I$89,3,0)*VLOOKUP('Données projet'!$B$15,Paramètres!$A$1:$I$89,5,0)</f>
        <v>1.2710188457276673E-13</v>
      </c>
      <c r="EL158" s="13">
        <f t="shared" si="179"/>
        <v>1.856866851063998E-12</v>
      </c>
      <c r="EM158" s="20">
        <f t="shared" si="180"/>
        <v>3.4554122145673649E-12</v>
      </c>
      <c r="EN158" s="59">
        <f t="shared" si="128"/>
        <v>293.33333333333678</v>
      </c>
      <c r="EO158" s="59">
        <f ca="1">AVERAGE(OFFSET($EN$3,0,0,'Données projet'!$E$15+1,1))-AVERAGE(OFFSET($H$3,0,0,'Données projet'!$E$15+1,1))</f>
        <v>313.36787814924116</v>
      </c>
      <c r="EP158" s="59">
        <f t="shared" si="154"/>
        <v>438.72984487610216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36.967950388046368</v>
      </c>
      <c r="EW158" s="21">
        <f>EXP(-LN(2)/25)*EW157+(1-EXP(-LN(2)/25))/(LN(2)/25)*Calculateur!ER158*Calculateur!ET158*VLOOKUP('Données projet'!$B$15,Paramètres!$A$1:$I$89,3,0)*0.475*44/12</f>
        <v>3.3985931375364631</v>
      </c>
      <c r="EX158" s="21">
        <f>EXP(-LN(2)/2)*EX157+(1-EXP(-LN(2)/2))/(LN(2)/2)*ER158*EU158*VLOOKUP('Données projet'!$B$15,Paramètres!$A$1:$I$89,3,0)*0.475*44/12</f>
        <v>5.9551325616563276E-15</v>
      </c>
      <c r="EY158" s="22">
        <f t="shared" si="181"/>
        <v>40.366543525582841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-5.6843418860808015E-14</v>
      </c>
      <c r="O159" s="13">
        <f>N159*VLOOKUP('Données projet'!$B$9,Paramètres!$A$1:$I$89,3,0)*VLOOKUP('Données projet'!$B$9,Paramètres!$A$1:$I$89,5,0)</f>
        <v>-5.1431925385259088E-14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173.91998182168385</v>
      </c>
      <c r="T159" s="59">
        <f t="shared" si="142"/>
        <v>72.011647893875363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45.128775110064844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45.128775110064844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-2.8421709430404007E-14</v>
      </c>
      <c r="AJ159" s="13">
        <f>AI159*VLOOKUP('Données projet'!$B$10,Paramètres!$A$1:$I$89,3,0)*VLOOKUP('Données projet'!$B$10,Paramètres!$A$1:$I$89,5,0)</f>
        <v>-3.0593128030886874E-14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150.9416300233616</v>
      </c>
      <c r="AO159" s="59">
        <f t="shared" si="144"/>
        <v>92.286636088269972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21.937436935960072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21.937436935960072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-2.8421709430404007E-14</v>
      </c>
      <c r="BE159" s="13">
        <f>BD159*VLOOKUP('Données projet'!$B$11,Paramètres!$A$1:$I$89,3,0)*VLOOKUP('Données projet'!$B$11,Paramètres!$A$1:$I$89,5,0)</f>
        <v>-2.7489477361086758E-14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131.02416800340484</v>
      </c>
      <c r="BJ159" s="59">
        <f t="shared" si="146"/>
        <v>79.394119001888555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19.711899855500363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19.711899855500363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-2.8421709430404007E-14</v>
      </c>
      <c r="BZ159" s="13">
        <f>BY159*VLOOKUP('Données projet'!$B$12,Paramètres!$A$1:$I$89,3,0)*VLOOKUP('Données projet'!$B$12,Paramètres!$A$1:$I$89,5,0)</f>
        <v>-2.5715962692629544E-14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119.62076457560073</v>
      </c>
      <c r="CE159" s="59">
        <f t="shared" si="148"/>
        <v>72.011647893875363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18.440164380951938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18.440164380951938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-2.8421709430404007E-14</v>
      </c>
      <c r="CU159" s="17">
        <f>CT159*VLOOKUP('Données projet'!$B$13,Paramètres!$A$1:$I$89,3,0)*VLOOKUP('Données projet'!$B$13,Paramètres!$A$1:$I$89,5,0)</f>
        <v>-3.0593128030886874E-14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150.9416300233616</v>
      </c>
      <c r="CZ159" s="59">
        <f t="shared" si="150"/>
        <v>92.286636088269972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21.937436935960072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21.937436935960072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439.99999999999943</v>
      </c>
      <c r="DP159" s="17">
        <f>DO159*VLOOKUP('Données projet'!$B$14,Paramètres!$A$1:$I$89,3,0)*VLOOKUP('Données projet'!$B$14,Paramètres!$A$1:$I$89,5,0)</f>
        <v>263.11999999999966</v>
      </c>
      <c r="DQ159" s="13">
        <f t="shared" si="176"/>
        <v>63.386973458751953</v>
      </c>
      <c r="DR159" s="20">
        <f t="shared" si="177"/>
        <v>568.66631210732578</v>
      </c>
      <c r="DS159" s="59">
        <f t="shared" si="125"/>
        <v>861.99964544065915</v>
      </c>
      <c r="DT159" s="59">
        <f ca="1">AVERAGE(OFFSET($DS$3,0,0,'Données projet'!$E$14+1,1))-AVERAGE(OFFSET($H$3,0,0,'Données projet'!$E$14+1,1))</f>
        <v>249.22792522076639</v>
      </c>
      <c r="DU159" s="59">
        <f t="shared" si="152"/>
        <v>244.53725944480669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8.7014627339297572</v>
      </c>
      <c r="EB159" s="21">
        <f>EXP(-LN(2)/25)*EB158+(1-EXP(-LN(2)/25))/(LN(2)/25)*Calculateur!DW159*Calculateur!DY159*VLOOKUP('Données projet'!$B$14,Paramètres!$A$1:$I$89,3,0)*0.475*44/12</f>
        <v>1.5528447956646996</v>
      </c>
      <c r="EC159" s="21">
        <f>EXP(-LN(2)/2)*EC158+(1-EXP(-LN(2)/2))/(LN(2)/2)*DW159*DZ159*VLOOKUP('Données projet'!$B$14,Paramètres!$A$1:$I$89,3,0)*0.475*44/12</f>
        <v>2.1078091634689728E-13</v>
      </c>
      <c r="ED159" s="22">
        <f t="shared" si="178"/>
        <v>10.254307529594668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2.2737367544323206E-13</v>
      </c>
      <c r="EK159" s="17">
        <f>EJ159*VLOOKUP('Données projet'!$B$15,Paramètres!$A$1:$I$89,3,0)*VLOOKUP('Données projet'!$B$15,Paramètres!$A$1:$I$89,5,0)</f>
        <v>1.2710188457276673E-13</v>
      </c>
      <c r="EL159" s="13">
        <f t="shared" si="179"/>
        <v>1.856866851063998E-12</v>
      </c>
      <c r="EM159" s="20">
        <f t="shared" si="180"/>
        <v>3.4554122145673649E-12</v>
      </c>
      <c r="EN159" s="59">
        <f t="shared" si="128"/>
        <v>293.33333333333678</v>
      </c>
      <c r="EO159" s="59">
        <f ca="1">AVERAGE(OFFSET($EN$3,0,0,'Données projet'!$E$15+1,1))-AVERAGE(OFFSET($H$3,0,0,'Données projet'!$E$15+1,1))</f>
        <v>313.36787814924116</v>
      </c>
      <c r="EP159" s="59">
        <f t="shared" si="154"/>
        <v>438.72984487610216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36.243031429160062</v>
      </c>
      <c r="EW159" s="21">
        <f>EXP(-LN(2)/25)*EW158+(1-EXP(-LN(2)/25))/(LN(2)/25)*Calculateur!ER159*Calculateur!ET159*VLOOKUP('Données projet'!$B$15,Paramètres!$A$1:$I$89,3,0)*0.475*44/12</f>
        <v>3.3056584294662832</v>
      </c>
      <c r="EX159" s="21">
        <f>EXP(-LN(2)/2)*EX158+(1-EXP(-LN(2)/2))/(LN(2)/2)*ER159*EU159*VLOOKUP('Données projet'!$B$15,Paramètres!$A$1:$I$89,3,0)*0.475*44/12</f>
        <v>4.210914617212005E-15</v>
      </c>
      <c r="EY159" s="22">
        <f t="shared" si="181"/>
        <v>39.548689858626354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-5.6843418860808015E-14</v>
      </c>
      <c r="O160" s="13">
        <f>N160*VLOOKUP('Données projet'!$B$9,Paramètres!$A$1:$I$89,3,0)*VLOOKUP('Données projet'!$B$9,Paramètres!$A$1:$I$89,5,0)</f>
        <v>-5.1431925385259088E-14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173.91998182168385</v>
      </c>
      <c r="T160" s="59">
        <f t="shared" si="142"/>
        <v>72.011647893875363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44.243827355991336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44.243827355991336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-2.8421709430404007E-14</v>
      </c>
      <c r="AJ160" s="13">
        <f>AI160*VLOOKUP('Données projet'!$B$10,Paramètres!$A$1:$I$89,3,0)*VLOOKUP('Données projet'!$B$10,Paramètres!$A$1:$I$89,5,0)</f>
        <v>-3.0593128030886874E-14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150.9416300233616</v>
      </c>
      <c r="AO160" s="59">
        <f t="shared" si="144"/>
        <v>92.286636088269972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21.507257178161211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21.507257178161211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-2.8421709430404007E-14</v>
      </c>
      <c r="BE160" s="13">
        <f>BD160*VLOOKUP('Données projet'!$B$11,Paramètres!$A$1:$I$89,3,0)*VLOOKUP('Données projet'!$B$11,Paramètres!$A$1:$I$89,5,0)</f>
        <v>-2.7489477361086758E-14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131.02416800340484</v>
      </c>
      <c r="BJ160" s="59">
        <f t="shared" si="146"/>
        <v>79.394119001888555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19.325361522405732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19.325361522405732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-2.8421709430404007E-14</v>
      </c>
      <c r="BZ160" s="13">
        <f>BY160*VLOOKUP('Données projet'!$B$12,Paramètres!$A$1:$I$89,3,0)*VLOOKUP('Données projet'!$B$12,Paramètres!$A$1:$I$89,5,0)</f>
        <v>-2.5715962692629544E-14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119.62076457560073</v>
      </c>
      <c r="CE160" s="59">
        <f t="shared" si="148"/>
        <v>72.011647893875363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18.078564004831154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18.078564004831154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-2.8421709430404007E-14</v>
      </c>
      <c r="CU160" s="17">
        <f>CT160*VLOOKUP('Données projet'!$B$13,Paramètres!$A$1:$I$89,3,0)*VLOOKUP('Données projet'!$B$13,Paramètres!$A$1:$I$89,5,0)</f>
        <v>-3.0593128030886874E-14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150.9416300233616</v>
      </c>
      <c r="CZ160" s="59">
        <f t="shared" si="150"/>
        <v>92.286636088269972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21.507257178161211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21.507257178161211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439.99999999999943</v>
      </c>
      <c r="DP160" s="17">
        <f>DO160*VLOOKUP('Données projet'!$B$14,Paramètres!$A$1:$I$89,3,0)*VLOOKUP('Données projet'!$B$14,Paramètres!$A$1:$I$89,5,0)</f>
        <v>263.11999999999966</v>
      </c>
      <c r="DQ160" s="13">
        <f t="shared" si="176"/>
        <v>63.386973458751953</v>
      </c>
      <c r="DR160" s="20">
        <f t="shared" si="177"/>
        <v>568.66631210732578</v>
      </c>
      <c r="DS160" s="59">
        <f t="shared" si="125"/>
        <v>861.99964544065915</v>
      </c>
      <c r="DT160" s="59">
        <f ca="1">AVERAGE(OFFSET($DS$3,0,0,'Données projet'!$E$14+1,1))-AVERAGE(OFFSET($H$3,0,0,'Données projet'!$E$14+1,1))</f>
        <v>249.22792522076639</v>
      </c>
      <c r="DU160" s="59">
        <f t="shared" si="152"/>
        <v>244.53725944480669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8.5308323570856039</v>
      </c>
      <c r="EB160" s="21">
        <f>EXP(-LN(2)/25)*EB159+(1-EXP(-LN(2)/25))/(LN(2)/25)*Calculateur!DW160*Calculateur!DY160*VLOOKUP('Données projet'!$B$14,Paramètres!$A$1:$I$89,3,0)*0.475*44/12</f>
        <v>1.5103821730666895</v>
      </c>
      <c r="EC160" s="21">
        <f>EXP(-LN(2)/2)*EC159+(1-EXP(-LN(2)/2))/(LN(2)/2)*DW160*DZ160*VLOOKUP('Données projet'!$B$14,Paramètres!$A$1:$I$89,3,0)*0.475*44/12</f>
        <v>1.4904461529360547E-13</v>
      </c>
      <c r="ED160" s="22">
        <f t="shared" si="178"/>
        <v>10.041214530152443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2.2737367544323206E-13</v>
      </c>
      <c r="EK160" s="17">
        <f>EJ160*VLOOKUP('Données projet'!$B$15,Paramètres!$A$1:$I$89,3,0)*VLOOKUP('Données projet'!$B$15,Paramètres!$A$1:$I$89,5,0)</f>
        <v>1.2710188457276673E-13</v>
      </c>
      <c r="EL160" s="13">
        <f t="shared" si="179"/>
        <v>1.856866851063998E-12</v>
      </c>
      <c r="EM160" s="20">
        <f t="shared" si="180"/>
        <v>3.4554122145673649E-12</v>
      </c>
      <c r="EN160" s="59">
        <f t="shared" si="128"/>
        <v>293.33333333333678</v>
      </c>
      <c r="EO160" s="59">
        <f ca="1">AVERAGE(OFFSET($EN$3,0,0,'Données projet'!$E$15+1,1))-AVERAGE(OFFSET($H$3,0,0,'Données projet'!$E$15+1,1))</f>
        <v>313.36787814924116</v>
      </c>
      <c r="EP160" s="59">
        <f t="shared" si="154"/>
        <v>438.72984487610216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35.532327688900615</v>
      </c>
      <c r="EW160" s="21">
        <f>EXP(-LN(2)/25)*EW159+(1-EXP(-LN(2)/25))/(LN(2)/25)*Calculateur!ER160*Calculateur!ET160*VLOOKUP('Données projet'!$B$15,Paramètres!$A$1:$I$89,3,0)*0.475*44/12</f>
        <v>3.2152650258755062</v>
      </c>
      <c r="EX160" s="21">
        <f>EXP(-LN(2)/2)*EX159+(1-EXP(-LN(2)/2))/(LN(2)/2)*ER160*EU160*VLOOKUP('Données projet'!$B$15,Paramètres!$A$1:$I$89,3,0)*0.475*44/12</f>
        <v>2.9775662808281638E-15</v>
      </c>
      <c r="EY160" s="22">
        <f t="shared" si="181"/>
        <v>38.747592714776118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-5.6843418860808015E-14</v>
      </c>
      <c r="O161" s="13">
        <f>N161*VLOOKUP('Données projet'!$B$9,Paramètres!$A$1:$I$89,3,0)*VLOOKUP('Données projet'!$B$9,Paramètres!$A$1:$I$89,5,0)</f>
        <v>-5.1431925385259088E-14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173.91998182168385</v>
      </c>
      <c r="T161" s="59">
        <f t="shared" si="142"/>
        <v>72.011647893875363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43.376232887610378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43.376232887610378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-2.8421709430404007E-14</v>
      </c>
      <c r="AJ161" s="13">
        <f>AI161*VLOOKUP('Données projet'!$B$10,Paramètres!$A$1:$I$89,3,0)*VLOOKUP('Données projet'!$B$10,Paramètres!$A$1:$I$89,5,0)</f>
        <v>-3.0593128030886874E-14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150.9416300233616</v>
      </c>
      <c r="AO161" s="59">
        <f t="shared" si="144"/>
        <v>92.286636088269972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21.085512983029041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21.085512983029041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-2.8421709430404007E-14</v>
      </c>
      <c r="BE161" s="13">
        <f>BD161*VLOOKUP('Données projet'!$B$11,Paramètres!$A$1:$I$89,3,0)*VLOOKUP('Données projet'!$B$11,Paramètres!$A$1:$I$89,5,0)</f>
        <v>-2.7489477361086758E-14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131.02416800340484</v>
      </c>
      <c r="BJ161" s="59">
        <f t="shared" si="146"/>
        <v>79.394119001888555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18.946402970257985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18.946402970257985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-2.8421709430404007E-14</v>
      </c>
      <c r="BZ161" s="13">
        <f>BY161*VLOOKUP('Données projet'!$B$12,Paramètres!$A$1:$I$89,3,0)*VLOOKUP('Données projet'!$B$12,Paramètres!$A$1:$I$89,5,0)</f>
        <v>-2.5715962692629544E-14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119.62076457560073</v>
      </c>
      <c r="CE161" s="59">
        <f t="shared" si="148"/>
        <v>72.011647893875363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17.724054391531649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17.724054391531649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-2.8421709430404007E-14</v>
      </c>
      <c r="CU161" s="17">
        <f>CT161*VLOOKUP('Données projet'!$B$13,Paramètres!$A$1:$I$89,3,0)*VLOOKUP('Données projet'!$B$13,Paramètres!$A$1:$I$89,5,0)</f>
        <v>-3.0593128030886874E-14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150.9416300233616</v>
      </c>
      <c r="CZ161" s="59">
        <f t="shared" si="150"/>
        <v>92.286636088269972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21.085512983029041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21.085512983029041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439.99999999999943</v>
      </c>
      <c r="DP161" s="17">
        <f>DO161*VLOOKUP('Données projet'!$B$14,Paramètres!$A$1:$I$89,3,0)*VLOOKUP('Données projet'!$B$14,Paramètres!$A$1:$I$89,5,0)</f>
        <v>263.11999999999966</v>
      </c>
      <c r="DQ161" s="13">
        <f t="shared" si="176"/>
        <v>63.386973458751953</v>
      </c>
      <c r="DR161" s="20">
        <f t="shared" si="177"/>
        <v>568.66631210732578</v>
      </c>
      <c r="DS161" s="59">
        <f t="shared" si="125"/>
        <v>861.99964544065915</v>
      </c>
      <c r="DT161" s="59">
        <f ca="1">AVERAGE(OFFSET($DS$3,0,0,'Données projet'!$E$14+1,1))-AVERAGE(OFFSET($H$3,0,0,'Données projet'!$E$14+1,1))</f>
        <v>249.22792522076639</v>
      </c>
      <c r="DU161" s="59">
        <f t="shared" si="152"/>
        <v>244.53725944480669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8.3635479378571098</v>
      </c>
      <c r="EB161" s="21">
        <f>EXP(-LN(2)/25)*EB160+(1-EXP(-LN(2)/25))/(LN(2)/25)*Calculateur!DW161*Calculateur!DY161*VLOOKUP('Données projet'!$B$14,Paramètres!$A$1:$I$89,3,0)*0.475*44/12</f>
        <v>1.4690806931166345</v>
      </c>
      <c r="EC161" s="21">
        <f>EXP(-LN(2)/2)*EC160+(1-EXP(-LN(2)/2))/(LN(2)/2)*DW161*DZ161*VLOOKUP('Données projet'!$B$14,Paramètres!$A$1:$I$89,3,0)*0.475*44/12</f>
        <v>1.0539045817344864E-13</v>
      </c>
      <c r="ED161" s="22">
        <f t="shared" si="178"/>
        <v>9.8326286309738489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2.2737367544323206E-13</v>
      </c>
      <c r="EK161" s="17">
        <f>EJ161*VLOOKUP('Données projet'!$B$15,Paramètres!$A$1:$I$89,3,0)*VLOOKUP('Données projet'!$B$15,Paramètres!$A$1:$I$89,5,0)</f>
        <v>1.2710188457276673E-13</v>
      </c>
      <c r="EL161" s="13">
        <f t="shared" si="179"/>
        <v>1.856866851063998E-12</v>
      </c>
      <c r="EM161" s="20">
        <f t="shared" si="180"/>
        <v>3.4554122145673649E-12</v>
      </c>
      <c r="EN161" s="59">
        <f t="shared" si="128"/>
        <v>293.33333333333678</v>
      </c>
      <c r="EO161" s="59">
        <f ca="1">AVERAGE(OFFSET($EN$3,0,0,'Données projet'!$E$15+1,1))-AVERAGE(OFFSET($H$3,0,0,'Données projet'!$E$15+1,1))</f>
        <v>313.36787814924116</v>
      </c>
      <c r="EP161" s="59">
        <f t="shared" si="154"/>
        <v>438.72984487610216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34.835560415501178</v>
      </c>
      <c r="EW161" s="21">
        <f>EXP(-LN(2)/25)*EW160+(1-EXP(-LN(2)/25))/(LN(2)/25)*Calculateur!ER161*Calculateur!ET161*VLOOKUP('Données projet'!$B$15,Paramètres!$A$1:$I$89,3,0)*0.475*44/12</f>
        <v>3.1273434346595015</v>
      </c>
      <c r="EX161" s="21">
        <f>EXP(-LN(2)/2)*EX160+(1-EXP(-LN(2)/2))/(LN(2)/2)*ER161*EU161*VLOOKUP('Données projet'!$B$15,Paramètres!$A$1:$I$89,3,0)*0.475*44/12</f>
        <v>2.1054573086060025E-15</v>
      </c>
      <c r="EY161" s="22">
        <f t="shared" si="181"/>
        <v>37.962903850160679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-5.6843418860808015E-14</v>
      </c>
      <c r="O162" s="13">
        <f>N162*VLOOKUP('Données projet'!$B$9,Paramètres!$A$1:$I$89,3,0)*VLOOKUP('Données projet'!$B$9,Paramètres!$A$1:$I$89,5,0)</f>
        <v>-5.1431925385259088E-14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173.91998182168385</v>
      </c>
      <c r="T162" s="59">
        <f t="shared" si="142"/>
        <v>72.011647893875363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42.525651417573997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42.525651417573997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-2.8421709430404007E-14</v>
      </c>
      <c r="AJ162" s="13">
        <f>AI162*VLOOKUP('Données projet'!$B$10,Paramètres!$A$1:$I$89,3,0)*VLOOKUP('Données projet'!$B$10,Paramètres!$A$1:$I$89,5,0)</f>
        <v>-3.0593128030886874E-14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150.9416300233616</v>
      </c>
      <c r="AO162" s="59">
        <f t="shared" si="144"/>
        <v>92.286636088269972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20.672038934324853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20.672038934324853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-2.8421709430404007E-14</v>
      </c>
      <c r="BE162" s="13">
        <f>BD162*VLOOKUP('Données projet'!$B$11,Paramètres!$A$1:$I$89,3,0)*VLOOKUP('Données projet'!$B$11,Paramètres!$A$1:$I$89,5,0)</f>
        <v>-2.7489477361086758E-14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131.02416800340484</v>
      </c>
      <c r="BJ162" s="59">
        <f t="shared" si="146"/>
        <v>79.394119001888555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18.574875564175962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18.574875564175962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-2.8421709430404007E-14</v>
      </c>
      <c r="BZ162" s="13">
        <f>BY162*VLOOKUP('Données projet'!$B$12,Paramètres!$A$1:$I$89,3,0)*VLOOKUP('Données projet'!$B$12,Paramètres!$A$1:$I$89,5,0)</f>
        <v>-2.5715962692629544E-14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119.62076457560073</v>
      </c>
      <c r="CE162" s="59">
        <f t="shared" si="148"/>
        <v>72.011647893875363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17.376496495519433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17.376496495519433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-2.8421709430404007E-14</v>
      </c>
      <c r="CU162" s="17">
        <f>CT162*VLOOKUP('Données projet'!$B$13,Paramètres!$A$1:$I$89,3,0)*VLOOKUP('Données projet'!$B$13,Paramètres!$A$1:$I$89,5,0)</f>
        <v>-3.0593128030886874E-14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150.9416300233616</v>
      </c>
      <c r="CZ162" s="59">
        <f t="shared" si="150"/>
        <v>92.286636088269972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20.672038934324853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20.672038934324853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439.99999999999943</v>
      </c>
      <c r="DP162" s="17">
        <f>DO162*VLOOKUP('Données projet'!$B$14,Paramètres!$A$1:$I$89,3,0)*VLOOKUP('Données projet'!$B$14,Paramètres!$A$1:$I$89,5,0)</f>
        <v>263.11999999999966</v>
      </c>
      <c r="DQ162" s="13">
        <f t="shared" si="176"/>
        <v>63.386973458751953</v>
      </c>
      <c r="DR162" s="20">
        <f t="shared" si="177"/>
        <v>568.66631210732578</v>
      </c>
      <c r="DS162" s="59">
        <f t="shared" si="125"/>
        <v>861.99964544065915</v>
      </c>
      <c r="DT162" s="59">
        <f ca="1">AVERAGE(OFFSET($DS$3,0,0,'Données projet'!$E$14+1,1))-AVERAGE(OFFSET($H$3,0,0,'Données projet'!$E$14+1,1))</f>
        <v>249.22792522076639</v>
      </c>
      <c r="DU162" s="59">
        <f t="shared" si="152"/>
        <v>244.53725944480669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8.1995438640562668</v>
      </c>
      <c r="EB162" s="21">
        <f>EXP(-LN(2)/25)*EB161+(1-EXP(-LN(2)/25))/(LN(2)/25)*Calculateur!DW162*Calculateur!DY162*VLOOKUP('Données projet'!$B$14,Paramètres!$A$1:$I$89,3,0)*0.475*44/12</f>
        <v>1.4289086043077641</v>
      </c>
      <c r="EC162" s="21">
        <f>EXP(-LN(2)/2)*EC161+(1-EXP(-LN(2)/2))/(LN(2)/2)*DW162*DZ162*VLOOKUP('Données projet'!$B$14,Paramètres!$A$1:$I$89,3,0)*0.475*44/12</f>
        <v>7.4522307646802734E-14</v>
      </c>
      <c r="ED162" s="22">
        <f t="shared" si="178"/>
        <v>9.628452468364106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2.2737367544323206E-13</v>
      </c>
      <c r="EK162" s="17">
        <f>EJ162*VLOOKUP('Données projet'!$B$15,Paramètres!$A$1:$I$89,3,0)*VLOOKUP('Données projet'!$B$15,Paramètres!$A$1:$I$89,5,0)</f>
        <v>1.2710188457276673E-13</v>
      </c>
      <c r="EL162" s="13">
        <f t="shared" si="179"/>
        <v>1.856866851063998E-12</v>
      </c>
      <c r="EM162" s="20">
        <f t="shared" si="180"/>
        <v>3.4554122145673649E-12</v>
      </c>
      <c r="EN162" s="59">
        <f t="shared" si="128"/>
        <v>293.33333333333678</v>
      </c>
      <c r="EO162" s="59">
        <f ca="1">AVERAGE(OFFSET($EN$3,0,0,'Données projet'!$E$15+1,1))-AVERAGE(OFFSET($H$3,0,0,'Données projet'!$E$15+1,1))</f>
        <v>313.36787814924116</v>
      </c>
      <c r="EP162" s="59">
        <f t="shared" si="154"/>
        <v>438.72984487610216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34.152456323347025</v>
      </c>
      <c r="EW162" s="21">
        <f>EXP(-LN(2)/25)*EW161+(1-EXP(-LN(2)/25))/(LN(2)/25)*Calculateur!ER162*Calculateur!ET162*VLOOKUP('Données projet'!$B$15,Paramètres!$A$1:$I$89,3,0)*0.475*44/12</f>
        <v>3.0418260639788937</v>
      </c>
      <c r="EX162" s="21">
        <f>EXP(-LN(2)/2)*EX161+(1-EXP(-LN(2)/2))/(LN(2)/2)*ER162*EU162*VLOOKUP('Données projet'!$B$15,Paramètres!$A$1:$I$89,3,0)*0.475*44/12</f>
        <v>1.4887831404140819E-15</v>
      </c>
      <c r="EY162" s="22">
        <f t="shared" si="181"/>
        <v>37.19428238732592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-5.6843418860808015E-14</v>
      </c>
      <c r="O163" s="13">
        <f>N163*VLOOKUP('Données projet'!$B$9,Paramètres!$A$1:$I$89,3,0)*VLOOKUP('Données projet'!$B$9,Paramètres!$A$1:$I$89,5,0)</f>
        <v>-5.1431925385259088E-14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173.91998182168385</v>
      </c>
      <c r="T163" s="59">
        <f t="shared" si="142"/>
        <v>72.011647893875363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41.691749331361564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41.691749331361564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-2.8421709430404007E-14</v>
      </c>
      <c r="AJ163" s="13">
        <f>AI163*VLOOKUP('Données projet'!$B$10,Paramètres!$A$1:$I$89,3,0)*VLOOKUP('Données projet'!$B$10,Paramètres!$A$1:$I$89,5,0)</f>
        <v>-3.0593128030886874E-14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150.9416300233616</v>
      </c>
      <c r="AO163" s="59">
        <f t="shared" si="144"/>
        <v>92.286636088269972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20.266672859521488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20.266672859521488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-2.8421709430404007E-14</v>
      </c>
      <c r="BE163" s="13">
        <f>BD163*VLOOKUP('Données projet'!$B$11,Paramètres!$A$1:$I$89,3,0)*VLOOKUP('Données projet'!$B$11,Paramètres!$A$1:$I$89,5,0)</f>
        <v>-2.7489477361086758E-14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131.02416800340484</v>
      </c>
      <c r="BJ163" s="59">
        <f t="shared" si="146"/>
        <v>79.394119001888555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18.210633583917865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18.210633583917865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-2.8421709430404007E-14</v>
      </c>
      <c r="BZ163" s="13">
        <f>BY163*VLOOKUP('Données projet'!$B$12,Paramètres!$A$1:$I$89,3,0)*VLOOKUP('Données projet'!$B$12,Paramètres!$A$1:$I$89,5,0)</f>
        <v>-2.5715962692629544E-14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119.62076457560073</v>
      </c>
      <c r="CE163" s="59">
        <f t="shared" si="148"/>
        <v>72.011647893875363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17.035753997858631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17.035753997858631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-2.8421709430404007E-14</v>
      </c>
      <c r="CU163" s="17">
        <f>CT163*VLOOKUP('Données projet'!$B$13,Paramètres!$A$1:$I$89,3,0)*VLOOKUP('Données projet'!$B$13,Paramètres!$A$1:$I$89,5,0)</f>
        <v>-3.0593128030886874E-14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150.9416300233616</v>
      </c>
      <c r="CZ163" s="59">
        <f t="shared" si="150"/>
        <v>92.286636088269972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20.266672859521488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20.266672859521488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439.99999999999943</v>
      </c>
      <c r="DP163" s="17">
        <f>DO163*VLOOKUP('Données projet'!$B$14,Paramètres!$A$1:$I$89,3,0)*VLOOKUP('Données projet'!$B$14,Paramètres!$A$1:$I$89,5,0)</f>
        <v>263.11999999999966</v>
      </c>
      <c r="DQ163" s="13">
        <f t="shared" si="176"/>
        <v>63.386973458751953</v>
      </c>
      <c r="DR163" s="20">
        <f t="shared" si="177"/>
        <v>568.66631210732578</v>
      </c>
      <c r="DS163" s="59">
        <f t="shared" si="125"/>
        <v>861.99964544065915</v>
      </c>
      <c r="DT163" s="59">
        <f ca="1">AVERAGE(OFFSET($DS$3,0,0,'Données projet'!$E$14+1,1))-AVERAGE(OFFSET($H$3,0,0,'Données projet'!$E$14+1,1))</f>
        <v>249.22792522076639</v>
      </c>
      <c r="DU163" s="59">
        <f t="shared" si="152"/>
        <v>244.53725944480669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8.0387558101100502</v>
      </c>
      <c r="EB163" s="21">
        <f>EXP(-LN(2)/25)*EB162+(1-EXP(-LN(2)/25))/(LN(2)/25)*Calculateur!DW163*Calculateur!DY163*VLOOKUP('Données projet'!$B$14,Paramètres!$A$1:$I$89,3,0)*0.475*44/12</f>
        <v>1.3898350233799306</v>
      </c>
      <c r="EC163" s="21">
        <f>EXP(-LN(2)/2)*EC162+(1-EXP(-LN(2)/2))/(LN(2)/2)*DW163*DZ163*VLOOKUP('Données projet'!$B$14,Paramètres!$A$1:$I$89,3,0)*0.475*44/12</f>
        <v>5.2695229086724319E-14</v>
      </c>
      <c r="ED163" s="22">
        <f t="shared" si="178"/>
        <v>9.4285908334900341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2.2737367544323206E-13</v>
      </c>
      <c r="EK163" s="17">
        <f>EJ163*VLOOKUP('Données projet'!$B$15,Paramètres!$A$1:$I$89,3,0)*VLOOKUP('Données projet'!$B$15,Paramètres!$A$1:$I$89,5,0)</f>
        <v>1.2710188457276673E-13</v>
      </c>
      <c r="EL163" s="13">
        <f t="shared" si="179"/>
        <v>1.856866851063998E-12</v>
      </c>
      <c r="EM163" s="20">
        <f t="shared" si="180"/>
        <v>3.4554122145673649E-12</v>
      </c>
      <c r="EN163" s="59">
        <f t="shared" si="128"/>
        <v>293.33333333333678</v>
      </c>
      <c r="EO163" s="59">
        <f ca="1">AVERAGE(OFFSET($EN$3,0,0,'Données projet'!$E$15+1,1))-AVERAGE(OFFSET($H$3,0,0,'Données projet'!$E$15+1,1))</f>
        <v>313.36787814924116</v>
      </c>
      <c r="EP163" s="59">
        <f t="shared" si="154"/>
        <v>438.72984487610216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33.482747485787662</v>
      </c>
      <c r="EW163" s="21">
        <f>EXP(-LN(2)/25)*EW162+(1-EXP(-LN(2)/25))/(LN(2)/25)*Calculateur!ER163*Calculateur!ET163*VLOOKUP('Données projet'!$B$15,Paramètres!$A$1:$I$89,3,0)*0.475*44/12</f>
        <v>2.9586471702967101</v>
      </c>
      <c r="EX163" s="21">
        <f>EXP(-LN(2)/2)*EX162+(1-EXP(-LN(2)/2))/(LN(2)/2)*ER163*EU163*VLOOKUP('Données projet'!$B$15,Paramètres!$A$1:$I$89,3,0)*0.475*44/12</f>
        <v>1.0527286543030013E-15</v>
      </c>
      <c r="EY163" s="22">
        <f t="shared" si="181"/>
        <v>36.44139465608437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-5.6843418860808015E-14</v>
      </c>
      <c r="O164" s="13">
        <f>N164*VLOOKUP('Données projet'!$B$9,Paramètres!$A$1:$I$89,3,0)*VLOOKUP('Données projet'!$B$9,Paramètres!$A$1:$I$89,5,0)</f>
        <v>-5.1431925385259088E-14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173.91998182168385</v>
      </c>
      <c r="T164" s="59">
        <f t="shared" si="142"/>
        <v>72.011647893875363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40.874199556429708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40.874199556429708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-2.8421709430404007E-14</v>
      </c>
      <c r="AJ164" s="13">
        <f>AI164*VLOOKUP('Données projet'!$B$10,Paramètres!$A$1:$I$89,3,0)*VLOOKUP('Données projet'!$B$10,Paramètres!$A$1:$I$89,5,0)</f>
        <v>-3.0593128030886874E-14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150.9416300233616</v>
      </c>
      <c r="AO164" s="59">
        <f t="shared" si="144"/>
        <v>92.286636088269972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19.869255766196126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19.869255766196126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-2.8421709430404007E-14</v>
      </c>
      <c r="BE164" s="13">
        <f>BD164*VLOOKUP('Données projet'!$B$11,Paramètres!$A$1:$I$89,3,0)*VLOOKUP('Données projet'!$B$11,Paramètres!$A$1:$I$89,5,0)</f>
        <v>-2.7489477361086758E-14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131.02416800340484</v>
      </c>
      <c r="BJ164" s="59">
        <f t="shared" si="146"/>
        <v>79.394119001888555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17.853534166726959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17.853534166726959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-2.8421709430404007E-14</v>
      </c>
      <c r="BZ164" s="13">
        <f>BY164*VLOOKUP('Données projet'!$B$12,Paramètres!$A$1:$I$89,3,0)*VLOOKUP('Données projet'!$B$12,Paramètres!$A$1:$I$89,5,0)</f>
        <v>-2.5715962692629544E-14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119.62076457560073</v>
      </c>
      <c r="CE164" s="59">
        <f t="shared" si="148"/>
        <v>72.011647893875363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16.701693252744558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16.701693252744558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-2.8421709430404007E-14</v>
      </c>
      <c r="CU164" s="17">
        <f>CT164*VLOOKUP('Données projet'!$B$13,Paramètres!$A$1:$I$89,3,0)*VLOOKUP('Données projet'!$B$13,Paramètres!$A$1:$I$89,5,0)</f>
        <v>-3.0593128030886874E-14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150.9416300233616</v>
      </c>
      <c r="CZ164" s="59">
        <f t="shared" si="150"/>
        <v>92.286636088269972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19.869255766196126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19.869255766196126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439.99999999999943</v>
      </c>
      <c r="DP164" s="17">
        <f>DO164*VLOOKUP('Données projet'!$B$14,Paramètres!$A$1:$I$89,3,0)*VLOOKUP('Données projet'!$B$14,Paramètres!$A$1:$I$89,5,0)</f>
        <v>263.11999999999966</v>
      </c>
      <c r="DQ164" s="13">
        <f t="shared" si="176"/>
        <v>63.386973458751953</v>
      </c>
      <c r="DR164" s="20">
        <f t="shared" si="177"/>
        <v>568.66631210732578</v>
      </c>
      <c r="DS164" s="59">
        <f t="shared" si="125"/>
        <v>861.99964544065915</v>
      </c>
      <c r="DT164" s="59">
        <f ca="1">AVERAGE(OFFSET($DS$3,0,0,'Données projet'!$E$14+1,1))-AVERAGE(OFFSET($H$3,0,0,'Données projet'!$E$14+1,1))</f>
        <v>249.22792522076639</v>
      </c>
      <c r="DU164" s="59">
        <f t="shared" si="152"/>
        <v>244.53725944480669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7.8811207118306896</v>
      </c>
      <c r="EB164" s="21">
        <f>EXP(-LN(2)/25)*EB163+(1-EXP(-LN(2)/25))/(LN(2)/25)*Calculateur!DW164*Calculateur!DY164*VLOOKUP('Données projet'!$B$14,Paramètres!$A$1:$I$89,3,0)*0.475*44/12</f>
        <v>1.3518299115773591</v>
      </c>
      <c r="EC164" s="21">
        <f>EXP(-LN(2)/2)*EC163+(1-EXP(-LN(2)/2))/(LN(2)/2)*DW164*DZ164*VLOOKUP('Données projet'!$B$14,Paramètres!$A$1:$I$89,3,0)*0.475*44/12</f>
        <v>3.7261153823401367E-14</v>
      </c>
      <c r="ED164" s="22">
        <f t="shared" si="178"/>
        <v>9.2329506234080867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2.2737367544323206E-13</v>
      </c>
      <c r="EK164" s="17">
        <f>EJ164*VLOOKUP('Données projet'!$B$15,Paramètres!$A$1:$I$89,3,0)*VLOOKUP('Données projet'!$B$15,Paramètres!$A$1:$I$89,5,0)</f>
        <v>1.2710188457276673E-13</v>
      </c>
      <c r="EL164" s="13">
        <f t="shared" si="179"/>
        <v>1.856866851063998E-12</v>
      </c>
      <c r="EM164" s="20">
        <f t="shared" si="180"/>
        <v>3.4554122145673649E-12</v>
      </c>
      <c r="EN164" s="59">
        <f t="shared" si="128"/>
        <v>293.33333333333678</v>
      </c>
      <c r="EO164" s="59">
        <f ca="1">AVERAGE(OFFSET($EN$3,0,0,'Données projet'!$E$15+1,1))-AVERAGE(OFFSET($H$3,0,0,'Données projet'!$E$15+1,1))</f>
        <v>313.36787814924116</v>
      </c>
      <c r="EP164" s="59">
        <f t="shared" si="154"/>
        <v>438.72984487610216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32.826171230050782</v>
      </c>
      <c r="EW164" s="21">
        <f>EXP(-LN(2)/25)*EW163+(1-EXP(-LN(2)/25))/(LN(2)/25)*Calculateur!ER164*Calculateur!ET164*VLOOKUP('Données projet'!$B$15,Paramètres!$A$1:$I$89,3,0)*0.475*44/12</f>
        <v>2.8777428078364538</v>
      </c>
      <c r="EX164" s="21">
        <f>EXP(-LN(2)/2)*EX163+(1-EXP(-LN(2)/2))/(LN(2)/2)*ER164*EU164*VLOOKUP('Données projet'!$B$15,Paramètres!$A$1:$I$89,3,0)*0.475*44/12</f>
        <v>7.4439157020704095E-16</v>
      </c>
      <c r="EY164" s="22">
        <f t="shared" si="181"/>
        <v>35.703914037887237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-5.6843418860808015E-14</v>
      </c>
      <c r="O165" s="13">
        <f>N165*VLOOKUP('Données projet'!$B$9,Paramètres!$A$1:$I$89,3,0)*VLOOKUP('Données projet'!$B$9,Paramètres!$A$1:$I$89,5,0)</f>
        <v>-5.1431925385259088E-14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173.91998182168385</v>
      </c>
      <c r="T165" s="59">
        <f t="shared" si="142"/>
        <v>72.011647893875363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40.072681433928139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40.072681433928139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-2.8421709430404007E-14</v>
      </c>
      <c r="AJ165" s="13">
        <f>AI165*VLOOKUP('Données projet'!$B$10,Paramètres!$A$1:$I$89,3,0)*VLOOKUP('Données projet'!$B$10,Paramètres!$A$1:$I$89,5,0)</f>
        <v>-3.0593128030886874E-14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150.9416300233616</v>
      </c>
      <c r="AO165" s="59">
        <f t="shared" si="144"/>
        <v>92.286636088269972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19.479631779670381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19.479631779670381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-2.8421709430404007E-14</v>
      </c>
      <c r="BE165" s="13">
        <f>BD165*VLOOKUP('Données projet'!$B$11,Paramètres!$A$1:$I$89,3,0)*VLOOKUP('Données projet'!$B$11,Paramètres!$A$1:$I$89,5,0)</f>
        <v>-2.7489477361086758E-14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131.02416800340484</v>
      </c>
      <c r="BJ165" s="59">
        <f t="shared" si="146"/>
        <v>79.394119001888555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17.503437251298028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17.503437251298028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-2.8421709430404007E-14</v>
      </c>
      <c r="BZ165" s="13">
        <f>BY165*VLOOKUP('Données projet'!$B$12,Paramètres!$A$1:$I$89,3,0)*VLOOKUP('Données projet'!$B$12,Paramètres!$A$1:$I$89,5,0)</f>
        <v>-2.5715962692629544E-14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119.62076457560073</v>
      </c>
      <c r="CE165" s="59">
        <f t="shared" si="148"/>
        <v>72.011647893875363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16.374183235085237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16.374183235085237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-2.8421709430404007E-14</v>
      </c>
      <c r="CU165" s="17">
        <f>CT165*VLOOKUP('Données projet'!$B$13,Paramètres!$A$1:$I$89,3,0)*VLOOKUP('Données projet'!$B$13,Paramètres!$A$1:$I$89,5,0)</f>
        <v>-3.0593128030886874E-14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150.9416300233616</v>
      </c>
      <c r="CZ165" s="59">
        <f t="shared" si="150"/>
        <v>92.286636088269972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19.479631779670381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19.479631779670381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439.99999999999943</v>
      </c>
      <c r="DP165" s="17">
        <f>DO165*VLOOKUP('Données projet'!$B$14,Paramètres!$A$1:$I$89,3,0)*VLOOKUP('Données projet'!$B$14,Paramètres!$A$1:$I$89,5,0)</f>
        <v>263.11999999999966</v>
      </c>
      <c r="DQ165" s="13">
        <f t="shared" si="176"/>
        <v>63.386973458751953</v>
      </c>
      <c r="DR165" s="20">
        <f t="shared" si="177"/>
        <v>568.66631210732578</v>
      </c>
      <c r="DS165" s="59">
        <f t="shared" si="125"/>
        <v>861.99964544065915</v>
      </c>
      <c r="DT165" s="59">
        <f ca="1">AVERAGE(OFFSET($DS$3,0,0,'Données projet'!$E$14+1,1))-AVERAGE(OFFSET($H$3,0,0,'Données projet'!$E$14+1,1))</f>
        <v>249.22792522076639</v>
      </c>
      <c r="DU165" s="59">
        <f t="shared" si="152"/>
        <v>244.53725944480669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7.7265767416806712</v>
      </c>
      <c r="EB165" s="21">
        <f>EXP(-LN(2)/25)*EB164+(1-EXP(-LN(2)/25))/(LN(2)/25)*Calculateur!DW165*Calculateur!DY165*VLOOKUP('Données projet'!$B$14,Paramètres!$A$1:$I$89,3,0)*0.475*44/12</f>
        <v>1.3148640515556309</v>
      </c>
      <c r="EC165" s="21">
        <f>EXP(-LN(2)/2)*EC164+(1-EXP(-LN(2)/2))/(LN(2)/2)*DW165*DZ165*VLOOKUP('Données projet'!$B$14,Paramètres!$A$1:$I$89,3,0)*0.475*44/12</f>
        <v>2.634761454336216E-14</v>
      </c>
      <c r="ED165" s="22">
        <f t="shared" si="178"/>
        <v>9.0414407932363279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2.2737367544323206E-13</v>
      </c>
      <c r="EK165" s="17">
        <f>EJ165*VLOOKUP('Données projet'!$B$15,Paramètres!$A$1:$I$89,3,0)*VLOOKUP('Données projet'!$B$15,Paramètres!$A$1:$I$89,5,0)</f>
        <v>1.2710188457276673E-13</v>
      </c>
      <c r="EL165" s="13">
        <f t="shared" si="179"/>
        <v>1.856866851063998E-12</v>
      </c>
      <c r="EM165" s="20">
        <f t="shared" si="180"/>
        <v>3.4554122145673649E-12</v>
      </c>
      <c r="EN165" s="59">
        <f t="shared" si="128"/>
        <v>293.33333333333678</v>
      </c>
      <c r="EO165" s="59">
        <f ca="1">AVERAGE(OFFSET($EN$3,0,0,'Données projet'!$E$15+1,1))-AVERAGE(OFFSET($H$3,0,0,'Données projet'!$E$15+1,1))</f>
        <v>313.36787814924116</v>
      </c>
      <c r="EP165" s="59">
        <f t="shared" si="154"/>
        <v>438.72984487610216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32.182470034216927</v>
      </c>
      <c r="EW165" s="21">
        <f>EXP(-LN(2)/25)*EW164+(1-EXP(-LN(2)/25))/(LN(2)/25)*Calculateur!ER165*Calculateur!ET165*VLOOKUP('Données projet'!$B$15,Paramètres!$A$1:$I$89,3,0)*0.475*44/12</f>
        <v>2.7990507794222488</v>
      </c>
      <c r="EX165" s="21">
        <f>EXP(-LN(2)/2)*EX164+(1-EXP(-LN(2)/2))/(LN(2)/2)*ER165*EU165*VLOOKUP('Données projet'!$B$15,Paramètres!$A$1:$I$89,3,0)*0.475*44/12</f>
        <v>5.2636432715150063E-16</v>
      </c>
      <c r="EY165" s="22">
        <f t="shared" si="181"/>
        <v>34.981520813639179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-5.6843418860808015E-14</v>
      </c>
      <c r="O166" s="13">
        <f>N166*VLOOKUP('Données projet'!$B$9,Paramètres!$A$1:$I$89,3,0)*VLOOKUP('Données projet'!$B$9,Paramètres!$A$1:$I$89,5,0)</f>
        <v>-5.1431925385259088E-14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173.91998182168385</v>
      </c>
      <c r="T166" s="59">
        <f t="shared" si="142"/>
        <v>72.011647893875363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39.286880592931041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39.286880592931041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-2.8421709430404007E-14</v>
      </c>
      <c r="AJ166" s="13">
        <f>AI166*VLOOKUP('Données projet'!$B$10,Paramètres!$A$1:$I$89,3,0)*VLOOKUP('Données projet'!$B$10,Paramètres!$A$1:$I$89,5,0)</f>
        <v>-3.0593128030886874E-14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150.9416300233616</v>
      </c>
      <c r="AO166" s="59">
        <f t="shared" si="144"/>
        <v>92.286636088269972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19.097648081873238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19.097648081873238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-2.8421709430404007E-14</v>
      </c>
      <c r="BE166" s="13">
        <f>BD166*VLOOKUP('Données projet'!$B$11,Paramètres!$A$1:$I$89,3,0)*VLOOKUP('Données projet'!$B$11,Paramètres!$A$1:$I$89,5,0)</f>
        <v>-2.7489477361086758E-14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131.02416800340484</v>
      </c>
      <c r="BJ166" s="59">
        <f t="shared" si="146"/>
        <v>79.394119001888555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17.160205522842624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17.160205522842624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-2.8421709430404007E-14</v>
      </c>
      <c r="BZ166" s="13">
        <f>BY166*VLOOKUP('Données projet'!$B$12,Paramètres!$A$1:$I$89,3,0)*VLOOKUP('Données projet'!$B$12,Paramètres!$A$1:$I$89,5,0)</f>
        <v>-2.5715962692629544E-14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119.62076457560073</v>
      </c>
      <c r="CE166" s="59">
        <f t="shared" si="148"/>
        <v>72.011647893875363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16.053095489110827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16.053095489110827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-2.8421709430404007E-14</v>
      </c>
      <c r="CU166" s="17">
        <f>CT166*VLOOKUP('Données projet'!$B$13,Paramètres!$A$1:$I$89,3,0)*VLOOKUP('Données projet'!$B$13,Paramètres!$A$1:$I$89,5,0)</f>
        <v>-3.0593128030886874E-14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150.9416300233616</v>
      </c>
      <c r="CZ166" s="59">
        <f t="shared" si="150"/>
        <v>92.286636088269972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19.097648081873238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19.097648081873238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439.99999999999943</v>
      </c>
      <c r="DP166" s="17">
        <f>DO166*VLOOKUP('Données projet'!$B$14,Paramètres!$A$1:$I$89,3,0)*VLOOKUP('Données projet'!$B$14,Paramètres!$A$1:$I$89,5,0)</f>
        <v>263.11999999999966</v>
      </c>
      <c r="DQ166" s="13">
        <f t="shared" si="176"/>
        <v>63.386973458751953</v>
      </c>
      <c r="DR166" s="20">
        <f t="shared" si="177"/>
        <v>568.66631210732578</v>
      </c>
      <c r="DS166" s="59">
        <f t="shared" si="125"/>
        <v>861.99964544065915</v>
      </c>
      <c r="DT166" s="59">
        <f ca="1">AVERAGE(OFFSET($DS$3,0,0,'Données projet'!$E$14+1,1))-AVERAGE(OFFSET($H$3,0,0,'Données projet'!$E$14+1,1))</f>
        <v>249.22792522076639</v>
      </c>
      <c r="DU166" s="59">
        <f t="shared" si="152"/>
        <v>244.53725944480669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7.5750632845227805</v>
      </c>
      <c r="EB166" s="21">
        <f>EXP(-LN(2)/25)*EB165+(1-EXP(-LN(2)/25))/(LN(2)/25)*Calculateur!DW166*Calculateur!DY166*VLOOKUP('Données projet'!$B$14,Paramètres!$A$1:$I$89,3,0)*0.475*44/12</f>
        <v>1.2789090249201469</v>
      </c>
      <c r="EC166" s="21">
        <f>EXP(-LN(2)/2)*EC165+(1-EXP(-LN(2)/2))/(LN(2)/2)*DW166*DZ166*VLOOKUP('Données projet'!$B$14,Paramètres!$A$1:$I$89,3,0)*0.475*44/12</f>
        <v>1.8630576911700684E-14</v>
      </c>
      <c r="ED166" s="22">
        <f t="shared" si="178"/>
        <v>8.8539723094429448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2.2737367544323206E-13</v>
      </c>
      <c r="EK166" s="17">
        <f>EJ166*VLOOKUP('Données projet'!$B$15,Paramètres!$A$1:$I$89,3,0)*VLOOKUP('Données projet'!$B$15,Paramètres!$A$1:$I$89,5,0)</f>
        <v>1.2710188457276673E-13</v>
      </c>
      <c r="EL166" s="13">
        <f t="shared" si="179"/>
        <v>1.856866851063998E-12</v>
      </c>
      <c r="EM166" s="20">
        <f t="shared" si="180"/>
        <v>3.4554122145673649E-12</v>
      </c>
      <c r="EN166" s="59">
        <f t="shared" si="128"/>
        <v>293.33333333333678</v>
      </c>
      <c r="EO166" s="59">
        <f ca="1">AVERAGE(OFFSET($EN$3,0,0,'Données projet'!$E$15+1,1))-AVERAGE(OFFSET($H$3,0,0,'Données projet'!$E$15+1,1))</f>
        <v>313.36787814924116</v>
      </c>
      <c r="EP166" s="59">
        <f t="shared" si="154"/>
        <v>438.72984487610216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31.551391426214416</v>
      </c>
      <c r="EW166" s="21">
        <f>EXP(-LN(2)/25)*EW165+(1-EXP(-LN(2)/25))/(LN(2)/25)*Calculateur!ER166*Calculateur!ET166*VLOOKUP('Données projet'!$B$15,Paramètres!$A$1:$I$89,3,0)*0.475*44/12</f>
        <v>2.7225105886632641</v>
      </c>
      <c r="EX166" s="21">
        <f>EXP(-LN(2)/2)*EX165+(1-EXP(-LN(2)/2))/(LN(2)/2)*ER166*EU166*VLOOKUP('Données projet'!$B$15,Paramètres!$A$1:$I$89,3,0)*0.475*44/12</f>
        <v>3.7219578510352047E-16</v>
      </c>
      <c r="EY166" s="22">
        <f t="shared" si="181"/>
        <v>34.273902014877677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-5.6843418860808015E-14</v>
      </c>
      <c r="O167" s="13">
        <f>N167*VLOOKUP('Données projet'!$B$9,Paramètres!$A$1:$I$89,3,0)*VLOOKUP('Données projet'!$B$9,Paramètres!$A$1:$I$89,5,0)</f>
        <v>-5.1431925385259088E-14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173.91998182168385</v>
      </c>
      <c r="T167" s="59">
        <f t="shared" si="142"/>
        <v>72.011647893875363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38.516488827134715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38.516488827134715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-2.8421709430404007E-14</v>
      </c>
      <c r="AJ167" s="13">
        <f>AI167*VLOOKUP('Données projet'!$B$10,Paramètres!$A$1:$I$89,3,0)*VLOOKUP('Données projet'!$B$10,Paramètres!$A$1:$I$89,5,0)</f>
        <v>-3.0593128030886874E-14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150.9416300233616</v>
      </c>
      <c r="AO167" s="59">
        <f t="shared" si="144"/>
        <v>92.286636088269972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18.72315485140285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18.72315485140285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-2.8421709430404007E-14</v>
      </c>
      <c r="BE167" s="13">
        <f>BD167*VLOOKUP('Données projet'!$B$11,Paramètres!$A$1:$I$89,3,0)*VLOOKUP('Données projet'!$B$11,Paramètres!$A$1:$I$89,5,0)</f>
        <v>-2.7489477361086758E-14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131.02416800340484</v>
      </c>
      <c r="BJ167" s="59">
        <f t="shared" si="146"/>
        <v>79.394119001888555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16.823704359231549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16.823704359231549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-2.8421709430404007E-14</v>
      </c>
      <c r="BZ167" s="13">
        <f>BY167*VLOOKUP('Données projet'!$B$12,Paramètres!$A$1:$I$89,3,0)*VLOOKUP('Données projet'!$B$12,Paramètres!$A$1:$I$89,5,0)</f>
        <v>-2.5715962692629544E-14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119.62076457560073</v>
      </c>
      <c r="CE167" s="59">
        <f t="shared" si="148"/>
        <v>72.011647893875363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15.73830407799079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15.73830407799079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-2.8421709430404007E-14</v>
      </c>
      <c r="CU167" s="17">
        <f>CT167*VLOOKUP('Données projet'!$B$13,Paramètres!$A$1:$I$89,3,0)*VLOOKUP('Données projet'!$B$13,Paramètres!$A$1:$I$89,5,0)</f>
        <v>-3.0593128030886874E-14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150.9416300233616</v>
      </c>
      <c r="CZ167" s="59">
        <f t="shared" si="150"/>
        <v>92.286636088269972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18.72315485140285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18.72315485140285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439.99999999999943</v>
      </c>
      <c r="DP167" s="17">
        <f>DO167*VLOOKUP('Données projet'!$B$14,Paramètres!$A$1:$I$89,3,0)*VLOOKUP('Données projet'!$B$14,Paramètres!$A$1:$I$89,5,0)</f>
        <v>263.11999999999966</v>
      </c>
      <c r="DQ167" s="13">
        <f t="shared" si="176"/>
        <v>63.386973458751953</v>
      </c>
      <c r="DR167" s="20">
        <f t="shared" si="177"/>
        <v>568.66631210732578</v>
      </c>
      <c r="DS167" s="59">
        <f t="shared" si="125"/>
        <v>861.99964544065915</v>
      </c>
      <c r="DT167" s="59">
        <f ca="1">AVERAGE(OFFSET($DS$3,0,0,'Données projet'!$E$14+1,1))-AVERAGE(OFFSET($H$3,0,0,'Données projet'!$E$14+1,1))</f>
        <v>249.22792522076639</v>
      </c>
      <c r="DU167" s="59">
        <f t="shared" si="152"/>
        <v>244.53725944480669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7.426520913845672</v>
      </c>
      <c r="EB167" s="21">
        <f>EXP(-LN(2)/25)*EB166+(1-EXP(-LN(2)/25))/(LN(2)/25)*Calculateur!DW167*Calculateur!DY167*VLOOKUP('Données projet'!$B$14,Paramètres!$A$1:$I$89,3,0)*0.475*44/12</f>
        <v>1.2439371903788028</v>
      </c>
      <c r="EC167" s="21">
        <f>EXP(-LN(2)/2)*EC166+(1-EXP(-LN(2)/2))/(LN(2)/2)*DW167*DZ167*VLOOKUP('Données projet'!$B$14,Paramètres!$A$1:$I$89,3,0)*0.475*44/12</f>
        <v>1.317380727168108E-14</v>
      </c>
      <c r="ED167" s="22">
        <f t="shared" si="178"/>
        <v>8.6704581042244868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2.2737367544323206E-13</v>
      </c>
      <c r="EK167" s="17">
        <f>EJ167*VLOOKUP('Données projet'!$B$15,Paramètres!$A$1:$I$89,3,0)*VLOOKUP('Données projet'!$B$15,Paramètres!$A$1:$I$89,5,0)</f>
        <v>1.2710188457276673E-13</v>
      </c>
      <c r="EL167" s="13">
        <f t="shared" si="179"/>
        <v>1.856866851063998E-12</v>
      </c>
      <c r="EM167" s="20">
        <f t="shared" si="180"/>
        <v>3.4554122145673649E-12</v>
      </c>
      <c r="EN167" s="59">
        <f t="shared" si="128"/>
        <v>293.33333333333678</v>
      </c>
      <c r="EO167" s="59">
        <f ca="1">AVERAGE(OFFSET($EN$3,0,0,'Données projet'!$E$15+1,1))-AVERAGE(OFFSET($H$3,0,0,'Données projet'!$E$15+1,1))</f>
        <v>313.36787814924116</v>
      </c>
      <c r="EP167" s="59">
        <f t="shared" si="154"/>
        <v>438.72984487610216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30.932687884794888</v>
      </c>
      <c r="EW167" s="21">
        <f>EXP(-LN(2)/25)*EW166+(1-EXP(-LN(2)/25))/(LN(2)/25)*Calculateur!ER167*Calculateur!ET167*VLOOKUP('Données projet'!$B$15,Paramètres!$A$1:$I$89,3,0)*0.475*44/12</f>
        <v>2.6480633934456579</v>
      </c>
      <c r="EX167" s="21">
        <f>EXP(-LN(2)/2)*EX166+(1-EXP(-LN(2)/2))/(LN(2)/2)*ER167*EU167*VLOOKUP('Données projet'!$B$15,Paramètres!$A$1:$I$89,3,0)*0.475*44/12</f>
        <v>2.6318216357575031E-16</v>
      </c>
      <c r="EY167" s="22">
        <f t="shared" si="181"/>
        <v>33.580751278240548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-5.6843418860808015E-14</v>
      </c>
      <c r="O168" s="13">
        <f>N168*VLOOKUP('Données projet'!$B$9,Paramètres!$A$1:$I$89,3,0)*VLOOKUP('Données projet'!$B$9,Paramètres!$A$1:$I$89,5,0)</f>
        <v>-5.1431925385259088E-14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173.91998182168385</v>
      </c>
      <c r="T168" s="59">
        <f t="shared" si="142"/>
        <v>72.011647893875363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37.761203973973075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37.761203973973075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-2.8421709430404007E-14</v>
      </c>
      <c r="AJ168" s="13">
        <f>AI168*VLOOKUP('Données projet'!$B$10,Paramètres!$A$1:$I$89,3,0)*VLOOKUP('Données projet'!$B$10,Paramètres!$A$1:$I$89,5,0)</f>
        <v>-3.0593128030886874E-14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150.9416300233616</v>
      </c>
      <c r="AO168" s="59">
        <f t="shared" si="144"/>
        <v>92.286636088269972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18.356005204763669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18.356005204763669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-2.8421709430404007E-14</v>
      </c>
      <c r="BE168" s="13">
        <f>BD168*VLOOKUP('Données projet'!$B$11,Paramètres!$A$1:$I$89,3,0)*VLOOKUP('Données projet'!$B$11,Paramètres!$A$1:$I$89,5,0)</f>
        <v>-2.7489477361086758E-14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131.02416800340484</v>
      </c>
      <c r="BJ168" s="59">
        <f t="shared" si="146"/>
        <v>79.394119001888555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16.493801778193443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16.493801778193443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-2.8421709430404007E-14</v>
      </c>
      <c r="BZ168" s="13">
        <f>BY168*VLOOKUP('Données projet'!$B$12,Paramètres!$A$1:$I$89,3,0)*VLOOKUP('Données projet'!$B$12,Paramètres!$A$1:$I$89,5,0)</f>
        <v>-2.5715962692629544E-14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119.62076457560073</v>
      </c>
      <c r="CE168" s="59">
        <f t="shared" si="148"/>
        <v>72.011647893875363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15.429685534439015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15.429685534439015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-2.8421709430404007E-14</v>
      </c>
      <c r="CU168" s="17">
        <f>CT168*VLOOKUP('Données projet'!$B$13,Paramètres!$A$1:$I$89,3,0)*VLOOKUP('Données projet'!$B$13,Paramètres!$A$1:$I$89,5,0)</f>
        <v>-3.0593128030886874E-14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150.9416300233616</v>
      </c>
      <c r="CZ168" s="59">
        <f t="shared" si="150"/>
        <v>92.286636088269972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18.356005204763669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18.356005204763669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439.99999999999943</v>
      </c>
      <c r="DP168" s="17">
        <f>DO168*VLOOKUP('Données projet'!$B$14,Paramètres!$A$1:$I$89,3,0)*VLOOKUP('Données projet'!$B$14,Paramètres!$A$1:$I$89,5,0)</f>
        <v>263.11999999999966</v>
      </c>
      <c r="DQ168" s="13">
        <f t="shared" si="176"/>
        <v>63.386973458751953</v>
      </c>
      <c r="DR168" s="20">
        <f t="shared" si="177"/>
        <v>568.66631210732578</v>
      </c>
      <c r="DS168" s="59">
        <f t="shared" si="125"/>
        <v>861.99964544065915</v>
      </c>
      <c r="DT168" s="59">
        <f ca="1">AVERAGE(OFFSET($DS$3,0,0,'Données projet'!$E$14+1,1))-AVERAGE(OFFSET($H$3,0,0,'Données projet'!$E$14+1,1))</f>
        <v>249.22792522076639</v>
      </c>
      <c r="DU168" s="59">
        <f t="shared" si="152"/>
        <v>244.53725944480669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7.2808913684556424</v>
      </c>
      <c r="EB168" s="21">
        <f>EXP(-LN(2)/25)*EB167+(1-EXP(-LN(2)/25))/(LN(2)/25)*Calculateur!DW168*Calculateur!DY168*VLOOKUP('Données projet'!$B$14,Paramètres!$A$1:$I$89,3,0)*0.475*44/12</f>
        <v>1.2099216624920806</v>
      </c>
      <c r="EC168" s="21">
        <f>EXP(-LN(2)/2)*EC167+(1-EXP(-LN(2)/2))/(LN(2)/2)*DW168*DZ168*VLOOKUP('Données projet'!$B$14,Paramètres!$A$1:$I$89,3,0)*0.475*44/12</f>
        <v>9.3152884558503418E-15</v>
      </c>
      <c r="ED168" s="22">
        <f t="shared" si="178"/>
        <v>8.4908130309477325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2.2737367544323206E-13</v>
      </c>
      <c r="EK168" s="17">
        <f>EJ168*VLOOKUP('Données projet'!$B$15,Paramètres!$A$1:$I$89,3,0)*VLOOKUP('Données projet'!$B$15,Paramètres!$A$1:$I$89,5,0)</f>
        <v>1.2710188457276673E-13</v>
      </c>
      <c r="EL168" s="13">
        <f t="shared" si="179"/>
        <v>1.856866851063998E-12</v>
      </c>
      <c r="EM168" s="20">
        <f t="shared" si="180"/>
        <v>3.4554122145673649E-12</v>
      </c>
      <c r="EN168" s="59">
        <f t="shared" si="128"/>
        <v>293.33333333333678</v>
      </c>
      <c r="EO168" s="59">
        <f ca="1">AVERAGE(OFFSET($EN$3,0,0,'Données projet'!$E$15+1,1))-AVERAGE(OFFSET($H$3,0,0,'Données projet'!$E$15+1,1))</f>
        <v>313.36787814924116</v>
      </c>
      <c r="EP168" s="59">
        <f t="shared" si="154"/>
        <v>438.72984487610216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30.326116742450701</v>
      </c>
      <c r="EW168" s="21">
        <f>EXP(-LN(2)/25)*EW167+(1-EXP(-LN(2)/25))/(LN(2)/25)*Calculateur!ER168*Calculateur!ET168*VLOOKUP('Données projet'!$B$15,Paramètres!$A$1:$I$89,3,0)*0.475*44/12</f>
        <v>2.5756519606962849</v>
      </c>
      <c r="EX168" s="21">
        <f>EXP(-LN(2)/2)*EX167+(1-EXP(-LN(2)/2))/(LN(2)/2)*ER168*EU168*VLOOKUP('Données projet'!$B$15,Paramètres!$A$1:$I$89,3,0)*0.475*44/12</f>
        <v>1.8609789255176024E-16</v>
      </c>
      <c r="EY168" s="22">
        <f t="shared" si="181"/>
        <v>32.901768703146985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-5.6843418860808015E-14</v>
      </c>
      <c r="O169" s="13">
        <f>N169*VLOOKUP('Données projet'!$B$9,Paramètres!$A$1:$I$89,3,0)*VLOOKUP('Données projet'!$B$9,Paramètres!$A$1:$I$89,5,0)</f>
        <v>-5.1431925385259088E-14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173.91998182168385</v>
      </c>
      <c r="T169" s="59">
        <f t="shared" si="142"/>
        <v>72.011647893875363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37.020729796103659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37.020729796103659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-2.8421709430404007E-14</v>
      </c>
      <c r="AJ169" s="13">
        <f>AI169*VLOOKUP('Données projet'!$B$10,Paramètres!$A$1:$I$89,3,0)*VLOOKUP('Données projet'!$B$10,Paramètres!$A$1:$I$89,5,0)</f>
        <v>-3.0593128030886874E-14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150.9416300233616</v>
      </c>
      <c r="AO169" s="59">
        <f t="shared" si="144"/>
        <v>92.286636088269972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17.99605513875591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17.99605513875591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-2.8421709430404007E-14</v>
      </c>
      <c r="BE169" s="13">
        <f>BD169*VLOOKUP('Données projet'!$B$11,Paramètres!$A$1:$I$89,3,0)*VLOOKUP('Données projet'!$B$11,Paramètres!$A$1:$I$89,5,0)</f>
        <v>-2.7489477361086758E-14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131.02416800340484</v>
      </c>
      <c r="BJ169" s="59">
        <f t="shared" si="146"/>
        <v>79.394119001888555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16.170368385548791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16.170368385548791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-2.8421709430404007E-14</v>
      </c>
      <c r="BZ169" s="13">
        <f>BY169*VLOOKUP('Données projet'!$B$12,Paramètres!$A$1:$I$89,3,0)*VLOOKUP('Données projet'!$B$12,Paramètres!$A$1:$I$89,5,0)</f>
        <v>-2.5715962692629544E-14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119.62076457560073</v>
      </c>
      <c r="CE169" s="59">
        <f t="shared" si="148"/>
        <v>72.011647893875363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15.127118812287565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15.127118812287565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-2.8421709430404007E-14</v>
      </c>
      <c r="CU169" s="17">
        <f>CT169*VLOOKUP('Données projet'!$B$13,Paramètres!$A$1:$I$89,3,0)*VLOOKUP('Données projet'!$B$13,Paramètres!$A$1:$I$89,5,0)</f>
        <v>-3.0593128030886874E-14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150.9416300233616</v>
      </c>
      <c r="CZ169" s="59">
        <f t="shared" si="150"/>
        <v>92.286636088269972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17.99605513875591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17.99605513875591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439.99999999999943</v>
      </c>
      <c r="DP169" s="17">
        <f>DO169*VLOOKUP('Données projet'!$B$14,Paramètres!$A$1:$I$89,3,0)*VLOOKUP('Données projet'!$B$14,Paramètres!$A$1:$I$89,5,0)</f>
        <v>263.11999999999966</v>
      </c>
      <c r="DQ169" s="13">
        <f t="shared" si="176"/>
        <v>63.386973458751953</v>
      </c>
      <c r="DR169" s="20">
        <f t="shared" si="177"/>
        <v>568.66631210732578</v>
      </c>
      <c r="DS169" s="59">
        <f t="shared" si="125"/>
        <v>861.99964544065915</v>
      </c>
      <c r="DT169" s="59">
        <f ca="1">AVERAGE(OFFSET($DS$3,0,0,'Données projet'!$E$14+1,1))-AVERAGE(OFFSET($H$3,0,0,'Données projet'!$E$14+1,1))</f>
        <v>249.22792522076639</v>
      </c>
      <c r="DU169" s="59">
        <f t="shared" si="152"/>
        <v>244.53725944480669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7.1381175296254593</v>
      </c>
      <c r="EB169" s="21">
        <f>EXP(-LN(2)/25)*EB168+(1-EXP(-LN(2)/25))/(LN(2)/25)*Calculateur!DW169*Calculateur!DY169*VLOOKUP('Données projet'!$B$14,Paramètres!$A$1:$I$89,3,0)*0.475*44/12</f>
        <v>1.1768362910042196</v>
      </c>
      <c r="EC169" s="21">
        <f>EXP(-LN(2)/2)*EC168+(1-EXP(-LN(2)/2))/(LN(2)/2)*DW169*DZ169*VLOOKUP('Données projet'!$B$14,Paramètres!$A$1:$I$89,3,0)*0.475*44/12</f>
        <v>6.5869036358405399E-15</v>
      </c>
      <c r="ED169" s="22">
        <f t="shared" si="178"/>
        <v>8.314953820629686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2.2737367544323206E-13</v>
      </c>
      <c r="EK169" s="17">
        <f>EJ169*VLOOKUP('Données projet'!$B$15,Paramètres!$A$1:$I$89,3,0)*VLOOKUP('Données projet'!$B$15,Paramètres!$A$1:$I$89,5,0)</f>
        <v>1.2710188457276673E-13</v>
      </c>
      <c r="EL169" s="13">
        <f t="shared" si="179"/>
        <v>1.856866851063998E-12</v>
      </c>
      <c r="EM169" s="20">
        <f t="shared" si="180"/>
        <v>3.4554122145673649E-12</v>
      </c>
      <c r="EN169" s="59">
        <f t="shared" si="128"/>
        <v>293.33333333333678</v>
      </c>
      <c r="EO169" s="59">
        <f ca="1">AVERAGE(OFFSET($EN$3,0,0,'Données projet'!$E$15+1,1))-AVERAGE(OFFSET($H$3,0,0,'Données projet'!$E$15+1,1))</f>
        <v>313.36787814924116</v>
      </c>
      <c r="EP169" s="59">
        <f t="shared" si="154"/>
        <v>438.72984487610216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29.731440090236017</v>
      </c>
      <c r="EW169" s="21">
        <f>EXP(-LN(2)/25)*EW168+(1-EXP(-LN(2)/25))/(LN(2)/25)*Calculateur!ER169*Calculateur!ET169*VLOOKUP('Données projet'!$B$15,Paramètres!$A$1:$I$89,3,0)*0.475*44/12</f>
        <v>2.505220622383395</v>
      </c>
      <c r="EX169" s="21">
        <f>EXP(-LN(2)/2)*EX168+(1-EXP(-LN(2)/2))/(LN(2)/2)*ER169*EU169*VLOOKUP('Données projet'!$B$15,Paramètres!$A$1:$I$89,3,0)*0.475*44/12</f>
        <v>1.3159108178787516E-16</v>
      </c>
      <c r="EY169" s="22">
        <f t="shared" si="181"/>
        <v>32.236660712619411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-5.6843418860808015E-14</v>
      </c>
      <c r="O170" s="13">
        <f>N170*VLOOKUP('Données projet'!$B$9,Paramètres!$A$1:$I$89,3,0)*VLOOKUP('Données projet'!$B$9,Paramètres!$A$1:$I$89,5,0)</f>
        <v>-5.1431925385259088E-14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173.91998182168385</v>
      </c>
      <c r="T170" s="59">
        <f t="shared" si="142"/>
        <v>72.011647893875363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36.294775865217609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36.294775865217609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-2.8421709430404007E-14</v>
      </c>
      <c r="AJ170" s="13">
        <f>AI170*VLOOKUP('Données projet'!$B$10,Paramètres!$A$1:$I$89,3,0)*VLOOKUP('Données projet'!$B$10,Paramètres!$A$1:$I$89,5,0)</f>
        <v>-3.0593128030886874E-14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150.9416300233616</v>
      </c>
      <c r="AO170" s="59">
        <f t="shared" si="144"/>
        <v>92.286636088269972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17.643163473994701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17.643163473994701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-2.8421709430404007E-14</v>
      </c>
      <c r="BE170" s="13">
        <f>BD170*VLOOKUP('Données projet'!$B$11,Paramètres!$A$1:$I$89,3,0)*VLOOKUP('Données projet'!$B$11,Paramètres!$A$1:$I$89,5,0)</f>
        <v>-2.7489477361086758E-14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131.02416800340484</v>
      </c>
      <c r="BJ170" s="59">
        <f t="shared" si="146"/>
        <v>79.394119001888555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15.853277324459009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15.853277324459009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-2.8421709430404007E-14</v>
      </c>
      <c r="BZ170" s="13">
        <f>BY170*VLOOKUP('Données projet'!$B$12,Paramètres!$A$1:$I$89,3,0)*VLOOKUP('Données projet'!$B$12,Paramètres!$A$1:$I$89,5,0)</f>
        <v>-2.5715962692629544E-14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119.62076457560073</v>
      </c>
      <c r="CE170" s="59">
        <f t="shared" si="148"/>
        <v>72.011647893875363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14.830485239010027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14.830485239010027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-2.8421709430404007E-14</v>
      </c>
      <c r="CU170" s="17">
        <f>CT170*VLOOKUP('Données projet'!$B$13,Paramètres!$A$1:$I$89,3,0)*VLOOKUP('Données projet'!$B$13,Paramètres!$A$1:$I$89,5,0)</f>
        <v>-3.0593128030886874E-14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150.9416300233616</v>
      </c>
      <c r="CZ170" s="59">
        <f t="shared" si="150"/>
        <v>92.286636088269972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17.643163473994701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17.643163473994701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439.99999999999943</v>
      </c>
      <c r="DP170" s="17">
        <f>DO170*VLOOKUP('Données projet'!$B$14,Paramètres!$A$1:$I$89,3,0)*VLOOKUP('Données projet'!$B$14,Paramètres!$A$1:$I$89,5,0)</f>
        <v>263.11999999999966</v>
      </c>
      <c r="DQ170" s="13">
        <f t="shared" si="176"/>
        <v>63.386973458751953</v>
      </c>
      <c r="DR170" s="20">
        <f t="shared" si="177"/>
        <v>568.66631210732578</v>
      </c>
      <c r="DS170" s="59">
        <f t="shared" si="125"/>
        <v>861.99964544065915</v>
      </c>
      <c r="DT170" s="59">
        <f ca="1">AVERAGE(OFFSET($DS$3,0,0,'Données projet'!$E$14+1,1))-AVERAGE(OFFSET($H$3,0,0,'Données projet'!$E$14+1,1))</f>
        <v>249.22792522076639</v>
      </c>
      <c r="DU170" s="59">
        <f t="shared" si="152"/>
        <v>244.53725944480669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6.9981433986912931</v>
      </c>
      <c r="EB170" s="21">
        <f>EXP(-LN(2)/25)*EB169+(1-EXP(-LN(2)/25))/(LN(2)/25)*Calculateur!DW170*Calculateur!DY170*VLOOKUP('Données projet'!$B$14,Paramètres!$A$1:$I$89,3,0)*0.475*44/12</f>
        <v>1.1446556407395783</v>
      </c>
      <c r="EC170" s="21">
        <f>EXP(-LN(2)/2)*EC169+(1-EXP(-LN(2)/2))/(LN(2)/2)*DW170*DZ170*VLOOKUP('Données projet'!$B$14,Paramètres!$A$1:$I$89,3,0)*0.475*44/12</f>
        <v>4.6576442279251709E-15</v>
      </c>
      <c r="ED170" s="22">
        <f t="shared" si="178"/>
        <v>8.1427990394308765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2.2737367544323206E-13</v>
      </c>
      <c r="EK170" s="17">
        <f>EJ170*VLOOKUP('Données projet'!$B$15,Paramètres!$A$1:$I$89,3,0)*VLOOKUP('Données projet'!$B$15,Paramètres!$A$1:$I$89,5,0)</f>
        <v>1.2710188457276673E-13</v>
      </c>
      <c r="EL170" s="13">
        <f t="shared" si="179"/>
        <v>1.856866851063998E-12</v>
      </c>
      <c r="EM170" s="20">
        <f t="shared" si="180"/>
        <v>3.4554122145673649E-12</v>
      </c>
      <c r="EN170" s="59">
        <f t="shared" si="128"/>
        <v>293.33333333333678</v>
      </c>
      <c r="EO170" s="59">
        <f ca="1">AVERAGE(OFFSET($EN$3,0,0,'Données projet'!$E$15+1,1))-AVERAGE(OFFSET($H$3,0,0,'Données projet'!$E$15+1,1))</f>
        <v>313.36787814924116</v>
      </c>
      <c r="EP170" s="59">
        <f t="shared" si="154"/>
        <v>438.72984487610216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29.148424684454323</v>
      </c>
      <c r="EW170" s="21">
        <f>EXP(-LN(2)/25)*EW169+(1-EXP(-LN(2)/25))/(LN(2)/25)*Calculateur!ER170*Calculateur!ET170*VLOOKUP('Données projet'!$B$15,Paramètres!$A$1:$I$89,3,0)*0.475*44/12</f>
        <v>2.4367152327204944</v>
      </c>
      <c r="EX170" s="21">
        <f>EXP(-LN(2)/2)*EX169+(1-EXP(-LN(2)/2))/(LN(2)/2)*ER170*EU170*VLOOKUP('Données projet'!$B$15,Paramètres!$A$1:$I$89,3,0)*0.475*44/12</f>
        <v>9.3048946275880119E-17</v>
      </c>
      <c r="EY170" s="22">
        <f t="shared" si="181"/>
        <v>31.585139917174818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-5.6843418860808015E-14</v>
      </c>
      <c r="O171" s="13">
        <f>N171*VLOOKUP('Données projet'!$B$9,Paramètres!$A$1:$I$89,3,0)*VLOOKUP('Données projet'!$B$9,Paramètres!$A$1:$I$89,5,0)</f>
        <v>-5.1431925385259088E-14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173.91998182168385</v>
      </c>
      <c r="T171" s="59">
        <f t="shared" si="142"/>
        <v>72.011647893875363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35.583057448128059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35.583057448128059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-2.8421709430404007E-14</v>
      </c>
      <c r="AJ171" s="13">
        <f>AI171*VLOOKUP('Données projet'!$B$10,Paramètres!$A$1:$I$89,3,0)*VLOOKUP('Données projet'!$B$10,Paramètres!$A$1:$I$89,5,0)</f>
        <v>-3.0593128030886874E-14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150.9416300233616</v>
      </c>
      <c r="AO171" s="59">
        <f t="shared" si="144"/>
        <v>92.286636088269972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17.297191799536797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17.297191799536797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-2.8421709430404007E-14</v>
      </c>
      <c r="BE171" s="13">
        <f>BD171*VLOOKUP('Données projet'!$B$11,Paramètres!$A$1:$I$89,3,0)*VLOOKUP('Données projet'!$B$11,Paramètres!$A$1:$I$89,5,0)</f>
        <v>-2.7489477361086758E-14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131.02416800340484</v>
      </c>
      <c r="BJ171" s="59">
        <f t="shared" si="146"/>
        <v>79.394119001888555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15.542404225670747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15.542404225670747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-2.8421709430404007E-14</v>
      </c>
      <c r="BZ171" s="13">
        <f>BY171*VLOOKUP('Données projet'!$B$12,Paramètres!$A$1:$I$89,3,0)*VLOOKUP('Données projet'!$B$12,Paramètres!$A$1:$I$89,5,0)</f>
        <v>-2.5715962692629544E-14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119.62076457560073</v>
      </c>
      <c r="CE171" s="59">
        <f t="shared" si="148"/>
        <v>72.011647893875363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14.539668469175847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14.539668469175847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-2.8421709430404007E-14</v>
      </c>
      <c r="CU171" s="17">
        <f>CT171*VLOOKUP('Données projet'!$B$13,Paramètres!$A$1:$I$89,3,0)*VLOOKUP('Données projet'!$B$13,Paramètres!$A$1:$I$89,5,0)</f>
        <v>-3.0593128030886874E-14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150.9416300233616</v>
      </c>
      <c r="CZ171" s="59">
        <f t="shared" si="150"/>
        <v>92.286636088269972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17.297191799536797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17.297191799536797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439.99999999999943</v>
      </c>
      <c r="DP171" s="17">
        <f>DO171*VLOOKUP('Données projet'!$B$14,Paramètres!$A$1:$I$89,3,0)*VLOOKUP('Données projet'!$B$14,Paramètres!$A$1:$I$89,5,0)</f>
        <v>263.11999999999966</v>
      </c>
      <c r="DQ171" s="13">
        <f t="shared" si="176"/>
        <v>63.386973458751953</v>
      </c>
      <c r="DR171" s="20">
        <f t="shared" si="177"/>
        <v>568.66631210732578</v>
      </c>
      <c r="DS171" s="59">
        <f t="shared" si="125"/>
        <v>861.99964544065915</v>
      </c>
      <c r="DT171" s="59">
        <f ca="1">AVERAGE(OFFSET($DS$3,0,0,'Données projet'!$E$14+1,1))-AVERAGE(OFFSET($H$3,0,0,'Données projet'!$E$14+1,1))</f>
        <v>249.22792522076639</v>
      </c>
      <c r="DU171" s="59">
        <f t="shared" si="152"/>
        <v>244.53725944480669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6.8609140750889557</v>
      </c>
      <c r="EB171" s="21">
        <f>EXP(-LN(2)/25)*EB170+(1-EXP(-LN(2)/25))/(LN(2)/25)*Calculateur!DW171*Calculateur!DY171*VLOOKUP('Données projet'!$B$14,Paramètres!$A$1:$I$89,3,0)*0.475*44/12</f>
        <v>1.1133549720487306</v>
      </c>
      <c r="EC171" s="21">
        <f>EXP(-LN(2)/2)*EC170+(1-EXP(-LN(2)/2))/(LN(2)/2)*DW171*DZ171*VLOOKUP('Données projet'!$B$14,Paramètres!$A$1:$I$89,3,0)*0.475*44/12</f>
        <v>3.29345181792027E-15</v>
      </c>
      <c r="ED171" s="22">
        <f t="shared" si="178"/>
        <v>7.9742690471376898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2.2737367544323206E-13</v>
      </c>
      <c r="EK171" s="17">
        <f>EJ171*VLOOKUP('Données projet'!$B$15,Paramètres!$A$1:$I$89,3,0)*VLOOKUP('Données projet'!$B$15,Paramètres!$A$1:$I$89,5,0)</f>
        <v>1.2710188457276673E-13</v>
      </c>
      <c r="EL171" s="13">
        <f t="shared" si="179"/>
        <v>1.856866851063998E-12</v>
      </c>
      <c r="EM171" s="20">
        <f t="shared" si="180"/>
        <v>3.4554122145673649E-12</v>
      </c>
      <c r="EN171" s="59">
        <f t="shared" si="128"/>
        <v>293.33333333333678</v>
      </c>
      <c r="EO171" s="59">
        <f ca="1">AVERAGE(OFFSET($EN$3,0,0,'Données projet'!$E$15+1,1))-AVERAGE(OFFSET($H$3,0,0,'Données projet'!$E$15+1,1))</f>
        <v>313.36787814924116</v>
      </c>
      <c r="EP171" s="59">
        <f t="shared" si="154"/>
        <v>438.72984487610216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28.576841855175722</v>
      </c>
      <c r="EW171" s="21">
        <f>EXP(-LN(2)/25)*EW170+(1-EXP(-LN(2)/25))/(LN(2)/25)*Calculateur!ER171*Calculateur!ET171*VLOOKUP('Données projet'!$B$15,Paramètres!$A$1:$I$89,3,0)*0.475*44/12</f>
        <v>2.3700831265404676</v>
      </c>
      <c r="EX171" s="21">
        <f>EXP(-LN(2)/2)*EX170+(1-EXP(-LN(2)/2))/(LN(2)/2)*ER171*EU171*VLOOKUP('Données projet'!$B$15,Paramètres!$A$1:$I$89,3,0)*0.475*44/12</f>
        <v>6.5795540893937578E-17</v>
      </c>
      <c r="EY171" s="22">
        <f t="shared" si="181"/>
        <v>30.94692498171619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-5.6843418860808015E-14</v>
      </c>
      <c r="O172" s="13">
        <f>N172*VLOOKUP('Données projet'!$B$9,Paramètres!$A$1:$I$89,3,0)*VLOOKUP('Données projet'!$B$9,Paramètres!$A$1:$I$89,5,0)</f>
        <v>-5.1431925385259088E-14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173.91998182168385</v>
      </c>
      <c r="T172" s="59">
        <f t="shared" si="142"/>
        <v>72.011647893875363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34.885295395092264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34.885295395092264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-2.8421709430404007E-14</v>
      </c>
      <c r="AJ172" s="13">
        <f>AI172*VLOOKUP('Données projet'!$B$10,Paramètres!$A$1:$I$89,3,0)*VLOOKUP('Données projet'!$B$10,Paramètres!$A$1:$I$89,5,0)</f>
        <v>-3.0593128030886874E-14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150.9416300233616</v>
      </c>
      <c r="AO172" s="59">
        <f t="shared" si="144"/>
        <v>92.286636088269972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16.958004418593127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16.958004418593127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-2.8421709430404007E-14</v>
      </c>
      <c r="BE172" s="13">
        <f>BD172*VLOOKUP('Données projet'!$B$11,Paramètres!$A$1:$I$89,3,0)*VLOOKUP('Données projet'!$B$11,Paramètres!$A$1:$I$89,5,0)</f>
        <v>-2.7489477361086758E-14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131.02416800340484</v>
      </c>
      <c r="BJ172" s="59">
        <f t="shared" si="146"/>
        <v>79.394119001888555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15.237627158735856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15.237627158735856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-2.8421709430404007E-14</v>
      </c>
      <c r="BZ172" s="13">
        <f>BY172*VLOOKUP('Données projet'!$B$12,Paramètres!$A$1:$I$89,3,0)*VLOOKUP('Données projet'!$B$12,Paramètres!$A$1:$I$89,5,0)</f>
        <v>-2.5715962692629544E-14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119.62076457560073</v>
      </c>
      <c r="CE172" s="59">
        <f t="shared" si="148"/>
        <v>72.011647893875363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14.254554438817401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14.254554438817401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-2.8421709430404007E-14</v>
      </c>
      <c r="CU172" s="17">
        <f>CT172*VLOOKUP('Données projet'!$B$13,Paramètres!$A$1:$I$89,3,0)*VLOOKUP('Données projet'!$B$13,Paramètres!$A$1:$I$89,5,0)</f>
        <v>-3.0593128030886874E-14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150.9416300233616</v>
      </c>
      <c r="CZ172" s="59">
        <f t="shared" si="150"/>
        <v>92.286636088269972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16.958004418593127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16.958004418593127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439.99999999999943</v>
      </c>
      <c r="DP172" s="17">
        <f>DO172*VLOOKUP('Données projet'!$B$14,Paramètres!$A$1:$I$89,3,0)*VLOOKUP('Données projet'!$B$14,Paramètres!$A$1:$I$89,5,0)</f>
        <v>263.11999999999966</v>
      </c>
      <c r="DQ172" s="13">
        <f t="shared" si="176"/>
        <v>63.386973458751953</v>
      </c>
      <c r="DR172" s="20">
        <f t="shared" si="177"/>
        <v>568.66631210732578</v>
      </c>
      <c r="DS172" s="59">
        <f t="shared" si="125"/>
        <v>861.99964544065915</v>
      </c>
      <c r="DT172" s="59">
        <f ca="1">AVERAGE(OFFSET($DS$3,0,0,'Données projet'!$E$14+1,1))-AVERAGE(OFFSET($H$3,0,0,'Données projet'!$E$14+1,1))</f>
        <v>249.22792522076639</v>
      </c>
      <c r="DU172" s="59">
        <f t="shared" si="152"/>
        <v>244.53725944480669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6.7263757348208379</v>
      </c>
      <c r="EB172" s="21">
        <f>EXP(-LN(2)/25)*EB171+(1-EXP(-LN(2)/25))/(LN(2)/25)*Calculateur!DW172*Calculateur!DY172*VLOOKUP('Données projet'!$B$14,Paramètres!$A$1:$I$89,3,0)*0.475*44/12</f>
        <v>1.0829102217892648</v>
      </c>
      <c r="EC172" s="21">
        <f>EXP(-LN(2)/2)*EC171+(1-EXP(-LN(2)/2))/(LN(2)/2)*DW172*DZ172*VLOOKUP('Données projet'!$B$14,Paramètres!$A$1:$I$89,3,0)*0.475*44/12</f>
        <v>2.3288221139625854E-15</v>
      </c>
      <c r="ED172" s="22">
        <f t="shared" si="178"/>
        <v>7.8092859566101049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2.2737367544323206E-13</v>
      </c>
      <c r="EK172" s="17">
        <f>EJ172*VLOOKUP('Données projet'!$B$15,Paramètres!$A$1:$I$89,3,0)*VLOOKUP('Données projet'!$B$15,Paramètres!$A$1:$I$89,5,0)</f>
        <v>1.2710188457276673E-13</v>
      </c>
      <c r="EL172" s="13">
        <f t="shared" si="179"/>
        <v>1.856866851063998E-12</v>
      </c>
      <c r="EM172" s="20">
        <f t="shared" si="180"/>
        <v>3.4554122145673649E-12</v>
      </c>
      <c r="EN172" s="59">
        <f t="shared" si="128"/>
        <v>293.33333333333678</v>
      </c>
      <c r="EO172" s="59">
        <f ca="1">AVERAGE(OFFSET($EN$3,0,0,'Données projet'!$E$15+1,1))-AVERAGE(OFFSET($H$3,0,0,'Données projet'!$E$15+1,1))</f>
        <v>313.36787814924116</v>
      </c>
      <c r="EP172" s="59">
        <f t="shared" si="154"/>
        <v>438.72984487610216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28.016467416548174</v>
      </c>
      <c r="EW172" s="21">
        <f>EXP(-LN(2)/25)*EW171+(1-EXP(-LN(2)/25))/(LN(2)/25)*Calculateur!ER172*Calculateur!ET172*VLOOKUP('Données projet'!$B$15,Paramètres!$A$1:$I$89,3,0)*0.475*44/12</f>
        <v>2.3052730788079638</v>
      </c>
      <c r="EX172" s="21">
        <f>EXP(-LN(2)/2)*EX171+(1-EXP(-LN(2)/2))/(LN(2)/2)*ER172*EU172*VLOOKUP('Données projet'!$B$15,Paramètres!$A$1:$I$89,3,0)*0.475*44/12</f>
        <v>4.6524473137940059E-17</v>
      </c>
      <c r="EY172" s="22">
        <f t="shared" si="181"/>
        <v>30.321740495356138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-5.6843418860808015E-14</v>
      </c>
      <c r="O173" s="13">
        <f>N173*VLOOKUP('Données projet'!$B$9,Paramètres!$A$1:$I$89,3,0)*VLOOKUP('Données projet'!$B$9,Paramètres!$A$1:$I$89,5,0)</f>
        <v>-5.1431925385259088E-14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173.91998182168385</v>
      </c>
      <c r="T173" s="59">
        <f t="shared" si="142"/>
        <v>72.011647893875363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34.201216030323671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34.201216030323671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-2.8421709430404007E-14</v>
      </c>
      <c r="AJ173" s="13">
        <f>AI173*VLOOKUP('Données projet'!$B$10,Paramètres!$A$1:$I$89,3,0)*VLOOKUP('Données projet'!$B$10,Paramètres!$A$1:$I$89,5,0)</f>
        <v>-3.0593128030886874E-14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150.9416300233616</v>
      </c>
      <c r="AO173" s="59">
        <f t="shared" si="144"/>
        <v>92.286636088269972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16.62546829530589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16.62546829530589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-2.8421709430404007E-14</v>
      </c>
      <c r="BE173" s="13">
        <f>BD173*VLOOKUP('Données projet'!$B$11,Paramètres!$A$1:$I$89,3,0)*VLOOKUP('Données projet'!$B$11,Paramètres!$A$1:$I$89,5,0)</f>
        <v>-2.7489477361086758E-14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131.02416800340484</v>
      </c>
      <c r="BJ173" s="59">
        <f t="shared" si="146"/>
        <v>79.394119001888555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14.938826584187904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14.938826584187904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-2.8421709430404007E-14</v>
      </c>
      <c r="BZ173" s="13">
        <f>BY173*VLOOKUP('Données projet'!$B$12,Paramètres!$A$1:$I$89,3,0)*VLOOKUP('Données projet'!$B$12,Paramètres!$A$1:$I$89,5,0)</f>
        <v>-2.5715962692629544E-14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119.62076457560073</v>
      </c>
      <c r="CE173" s="59">
        <f t="shared" si="148"/>
        <v>72.011647893875363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13.975031320691897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13.975031320691897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-2.8421709430404007E-14</v>
      </c>
      <c r="CU173" s="17">
        <f>CT173*VLOOKUP('Données projet'!$B$13,Paramètres!$A$1:$I$89,3,0)*VLOOKUP('Données projet'!$B$13,Paramètres!$A$1:$I$89,5,0)</f>
        <v>-3.0593128030886874E-14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150.9416300233616</v>
      </c>
      <c r="CZ173" s="59">
        <f t="shared" si="150"/>
        <v>92.286636088269972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16.62546829530589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16.62546829530589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439.99999999999943</v>
      </c>
      <c r="DP173" s="17">
        <f>DO173*VLOOKUP('Données projet'!$B$14,Paramètres!$A$1:$I$89,3,0)*VLOOKUP('Données projet'!$B$14,Paramètres!$A$1:$I$89,5,0)</f>
        <v>263.11999999999966</v>
      </c>
      <c r="DQ173" s="13">
        <f t="shared" si="176"/>
        <v>63.386973458751953</v>
      </c>
      <c r="DR173" s="20">
        <f t="shared" si="177"/>
        <v>568.66631210732578</v>
      </c>
      <c r="DS173" s="59">
        <f t="shared" si="125"/>
        <v>861.99964544065915</v>
      </c>
      <c r="DT173" s="59">
        <f ca="1">AVERAGE(OFFSET($DS$3,0,0,'Données projet'!$E$14+1,1))-AVERAGE(OFFSET($H$3,0,0,'Données projet'!$E$14+1,1))</f>
        <v>249.22792522076639</v>
      </c>
      <c r="DU173" s="59">
        <f t="shared" si="152"/>
        <v>244.53725944480669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6.5944756093450936</v>
      </c>
      <c r="EB173" s="21">
        <f>EXP(-LN(2)/25)*EB172+(1-EXP(-LN(2)/25))/(LN(2)/25)*Calculateur!DW173*Calculateur!DY173*VLOOKUP('Données projet'!$B$14,Paramètres!$A$1:$I$89,3,0)*0.475*44/12</f>
        <v>1.0532979848266637</v>
      </c>
      <c r="EC173" s="21">
        <f>EXP(-LN(2)/2)*EC172+(1-EXP(-LN(2)/2))/(LN(2)/2)*DW173*DZ173*VLOOKUP('Données projet'!$B$14,Paramètres!$A$1:$I$89,3,0)*0.475*44/12</f>
        <v>1.646725908960135E-15</v>
      </c>
      <c r="ED173" s="22">
        <f t="shared" si="178"/>
        <v>7.6477735941717588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2.2737367544323206E-13</v>
      </c>
      <c r="EK173" s="17">
        <f>EJ173*VLOOKUP('Données projet'!$B$15,Paramètres!$A$1:$I$89,3,0)*VLOOKUP('Données projet'!$B$15,Paramètres!$A$1:$I$89,5,0)</f>
        <v>1.2710188457276673E-13</v>
      </c>
      <c r="EL173" s="13">
        <f t="shared" si="179"/>
        <v>1.856866851063998E-12</v>
      </c>
      <c r="EM173" s="20">
        <f t="shared" si="180"/>
        <v>3.4554122145673649E-12</v>
      </c>
      <c r="EN173" s="59">
        <f t="shared" si="128"/>
        <v>293.33333333333678</v>
      </c>
      <c r="EO173" s="59">
        <f ca="1">AVERAGE(OFFSET($EN$3,0,0,'Données projet'!$E$15+1,1))-AVERAGE(OFFSET($H$3,0,0,'Données projet'!$E$15+1,1))</f>
        <v>313.36787814924116</v>
      </c>
      <c r="EP173" s="59">
        <f t="shared" si="154"/>
        <v>438.72984487610216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27.467081578867454</v>
      </c>
      <c r="EW173" s="21">
        <f>EXP(-LN(2)/25)*EW172+(1-EXP(-LN(2)/25))/(LN(2)/25)*Calculateur!ER173*Calculateur!ET173*VLOOKUP('Données projet'!$B$15,Paramètres!$A$1:$I$89,3,0)*0.475*44/12</f>
        <v>2.2422352652389175</v>
      </c>
      <c r="EX173" s="21">
        <f>EXP(-LN(2)/2)*EX172+(1-EXP(-LN(2)/2))/(LN(2)/2)*ER173*EU173*VLOOKUP('Données projet'!$B$15,Paramètres!$A$1:$I$89,3,0)*0.475*44/12</f>
        <v>3.2897770446968789E-17</v>
      </c>
      <c r="EY173" s="22">
        <f t="shared" si="181"/>
        <v>29.709316844106372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-5.6843418860808015E-14</v>
      </c>
      <c r="O174" s="13">
        <f>N174*VLOOKUP('Données projet'!$B$9,Paramètres!$A$1:$I$89,3,0)*VLOOKUP('Données projet'!$B$9,Paramètres!$A$1:$I$89,5,0)</f>
        <v>-5.1431925385259088E-14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173.91998182168385</v>
      </c>
      <c r="T174" s="59">
        <f t="shared" si="142"/>
        <v>72.011647893875363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33.530551044650984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33.530551044650984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-2.8421709430404007E-14</v>
      </c>
      <c r="AJ174" s="13">
        <f>AI174*VLOOKUP('Données projet'!$B$10,Paramètres!$A$1:$I$89,3,0)*VLOOKUP('Données projet'!$B$10,Paramètres!$A$1:$I$89,5,0)</f>
        <v>-3.0593128030886874E-14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150.9416300233616</v>
      </c>
      <c r="AO174" s="59">
        <f t="shared" si="144"/>
        <v>92.286636088269972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16.299453002569308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16.299453002569308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-2.8421709430404007E-14</v>
      </c>
      <c r="BE174" s="13">
        <f>BD174*VLOOKUP('Données projet'!$B$11,Paramètres!$A$1:$I$89,3,0)*VLOOKUP('Données projet'!$B$11,Paramètres!$A$1:$I$89,5,0)</f>
        <v>-2.7489477361086758E-14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131.02416800340484</v>
      </c>
      <c r="BJ174" s="59">
        <f t="shared" si="146"/>
        <v>79.394119001888555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14.645885306656481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14.645885306656481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-2.8421709430404007E-14</v>
      </c>
      <c r="BZ174" s="13">
        <f>BY174*VLOOKUP('Données projet'!$B$12,Paramètres!$A$1:$I$89,3,0)*VLOOKUP('Données projet'!$B$12,Paramètres!$A$1:$I$89,5,0)</f>
        <v>-2.5715962692629544E-14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119.62076457560073</v>
      </c>
      <c r="CE174" s="59">
        <f t="shared" si="148"/>
        <v>72.011647893875363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13.700989480420567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13.700989480420567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-2.8421709430404007E-14</v>
      </c>
      <c r="CU174" s="17">
        <f>CT174*VLOOKUP('Données projet'!$B$13,Paramètres!$A$1:$I$89,3,0)*VLOOKUP('Données projet'!$B$13,Paramètres!$A$1:$I$89,5,0)</f>
        <v>-3.0593128030886874E-14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150.9416300233616</v>
      </c>
      <c r="CZ174" s="59">
        <f t="shared" si="150"/>
        <v>92.286636088269972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16.299453002569308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16.299453002569308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439.99999999999943</v>
      </c>
      <c r="DP174" s="17">
        <f>DO174*VLOOKUP('Données projet'!$B$14,Paramètres!$A$1:$I$89,3,0)*VLOOKUP('Données projet'!$B$14,Paramètres!$A$1:$I$89,5,0)</f>
        <v>263.11999999999966</v>
      </c>
      <c r="DQ174" s="13">
        <f t="shared" si="176"/>
        <v>63.386973458751953</v>
      </c>
      <c r="DR174" s="20">
        <f t="shared" si="177"/>
        <v>568.66631210732578</v>
      </c>
      <c r="DS174" s="59">
        <f t="shared" si="125"/>
        <v>861.99964544065915</v>
      </c>
      <c r="DT174" s="59">
        <f ca="1">AVERAGE(OFFSET($DS$3,0,0,'Données projet'!$E$14+1,1))-AVERAGE(OFFSET($H$3,0,0,'Données projet'!$E$14+1,1))</f>
        <v>249.22792522076639</v>
      </c>
      <c r="DU174" s="59">
        <f t="shared" si="152"/>
        <v>244.53725944480669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6.4651619648787957</v>
      </c>
      <c r="EB174" s="21">
        <f>EXP(-LN(2)/25)*EB173+(1-EXP(-LN(2)/25))/(LN(2)/25)*Calculateur!DW174*Calculateur!DY174*VLOOKUP('Données projet'!$B$14,Paramètres!$A$1:$I$89,3,0)*0.475*44/12</f>
        <v>1.0244954960410448</v>
      </c>
      <c r="EC174" s="21">
        <f>EXP(-LN(2)/2)*EC173+(1-EXP(-LN(2)/2))/(LN(2)/2)*DW174*DZ174*VLOOKUP('Données projet'!$B$14,Paramètres!$A$1:$I$89,3,0)*0.475*44/12</f>
        <v>1.1644110569812927E-15</v>
      </c>
      <c r="ED174" s="22">
        <f t="shared" si="178"/>
        <v>7.4896574609198412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2.2737367544323206E-13</v>
      </c>
      <c r="EK174" s="17">
        <f>EJ174*VLOOKUP('Données projet'!$B$15,Paramètres!$A$1:$I$89,3,0)*VLOOKUP('Données projet'!$B$15,Paramètres!$A$1:$I$89,5,0)</f>
        <v>1.2710188457276673E-13</v>
      </c>
      <c r="EL174" s="13">
        <f t="shared" si="179"/>
        <v>1.856866851063998E-12</v>
      </c>
      <c r="EM174" s="20">
        <f t="shared" si="180"/>
        <v>3.4554122145673649E-12</v>
      </c>
      <c r="EN174" s="59">
        <f t="shared" si="128"/>
        <v>293.33333333333678</v>
      </c>
      <c r="EO174" s="59">
        <f ca="1">AVERAGE(OFFSET($EN$3,0,0,'Données projet'!$E$15+1,1))-AVERAGE(OFFSET($H$3,0,0,'Données projet'!$E$15+1,1))</f>
        <v>313.36787814924116</v>
      </c>
      <c r="EP174" s="59">
        <f t="shared" si="154"/>
        <v>438.72984487610216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26.928468862371378</v>
      </c>
      <c r="EW174" s="21">
        <f>EXP(-LN(2)/25)*EW173+(1-EXP(-LN(2)/25))/(LN(2)/25)*Calculateur!ER174*Calculateur!ET174*VLOOKUP('Données projet'!$B$15,Paramètres!$A$1:$I$89,3,0)*0.475*44/12</f>
        <v>2.1809212239969313</v>
      </c>
      <c r="EX174" s="21">
        <f>EXP(-LN(2)/2)*EX173+(1-EXP(-LN(2)/2))/(LN(2)/2)*ER174*EU174*VLOOKUP('Données projet'!$B$15,Paramètres!$A$1:$I$89,3,0)*0.475*44/12</f>
        <v>2.326223656897003E-17</v>
      </c>
      <c r="EY174" s="22">
        <f t="shared" si="181"/>
        <v>29.109390086368311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-5.6843418860808015E-14</v>
      </c>
      <c r="O175" s="13">
        <f>N175*VLOOKUP('Données projet'!$B$9,Paramètres!$A$1:$I$89,3,0)*VLOOKUP('Données projet'!$B$9,Paramètres!$A$1:$I$89,5,0)</f>
        <v>-5.1431925385259088E-14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173.91998182168385</v>
      </c>
      <c r="T175" s="59">
        <f t="shared" si="142"/>
        <v>72.011647893875363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32.873037390282086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32.873037390282086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-2.8421709430404007E-14</v>
      </c>
      <c r="AJ175" s="13">
        <f>AI175*VLOOKUP('Données projet'!$B$10,Paramètres!$A$1:$I$89,3,0)*VLOOKUP('Données projet'!$B$10,Paramètres!$A$1:$I$89,5,0)</f>
        <v>-3.0593128030886874E-14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150.9416300233616</v>
      </c>
      <c r="AO175" s="59">
        <f t="shared" si="144"/>
        <v>92.286636088269972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15.979830670873596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15.979830670873596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-2.8421709430404007E-14</v>
      </c>
      <c r="BE175" s="13">
        <f>BD175*VLOOKUP('Données projet'!$B$11,Paramètres!$A$1:$I$89,3,0)*VLOOKUP('Données projet'!$B$11,Paramètres!$A$1:$I$89,5,0)</f>
        <v>-2.7489477361086758E-14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131.02416800340484</v>
      </c>
      <c r="BJ175" s="59">
        <f t="shared" si="146"/>
        <v>79.394119001888555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14.358688428900914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14.358688428900914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-2.8421709430404007E-14</v>
      </c>
      <c r="BZ175" s="13">
        <f>BY175*VLOOKUP('Données projet'!$B$12,Paramètres!$A$1:$I$89,3,0)*VLOOKUP('Données projet'!$B$12,Paramètres!$A$1:$I$89,5,0)</f>
        <v>-2.5715962692629544E-14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119.62076457560073</v>
      </c>
      <c r="CE175" s="59">
        <f t="shared" si="148"/>
        <v>72.011647893875363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13.432321433487939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13.432321433487939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-2.8421709430404007E-14</v>
      </c>
      <c r="CU175" s="17">
        <f>CT175*VLOOKUP('Données projet'!$B$13,Paramètres!$A$1:$I$89,3,0)*VLOOKUP('Données projet'!$B$13,Paramètres!$A$1:$I$89,5,0)</f>
        <v>-3.0593128030886874E-14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150.9416300233616</v>
      </c>
      <c r="CZ175" s="59">
        <f t="shared" si="150"/>
        <v>92.286636088269972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15.979830670873596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15.979830670873596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439.99999999999943</v>
      </c>
      <c r="DP175" s="17">
        <f>DO175*VLOOKUP('Données projet'!$B$14,Paramètres!$A$1:$I$89,3,0)*VLOOKUP('Données projet'!$B$14,Paramètres!$A$1:$I$89,5,0)</f>
        <v>263.11999999999966</v>
      </c>
      <c r="DQ175" s="13">
        <f t="shared" si="176"/>
        <v>63.386973458751953</v>
      </c>
      <c r="DR175" s="20">
        <f t="shared" si="177"/>
        <v>568.66631210732578</v>
      </c>
      <c r="DS175" s="59">
        <f t="shared" si="125"/>
        <v>861.99964544065915</v>
      </c>
      <c r="DT175" s="59">
        <f ca="1">AVERAGE(OFFSET($DS$3,0,0,'Données projet'!$E$14+1,1))-AVERAGE(OFFSET($H$3,0,0,'Données projet'!$E$14+1,1))</f>
        <v>249.22792522076639</v>
      </c>
      <c r="DU175" s="59">
        <f t="shared" si="152"/>
        <v>244.53725944480669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6.3383840821069466</v>
      </c>
      <c r="EB175" s="21">
        <f>EXP(-LN(2)/25)*EB174+(1-EXP(-LN(2)/25))/(LN(2)/25)*Calculateur!DW175*Calculateur!DY175*VLOOKUP('Données projet'!$B$14,Paramètres!$A$1:$I$89,3,0)*0.475*44/12</f>
        <v>0.99648061282592582</v>
      </c>
      <c r="EC175" s="21">
        <f>EXP(-LN(2)/2)*EC174+(1-EXP(-LN(2)/2))/(LN(2)/2)*DW175*DZ175*VLOOKUP('Données projet'!$B$14,Paramètres!$A$1:$I$89,3,0)*0.475*44/12</f>
        <v>8.2336295448006749E-16</v>
      </c>
      <c r="ED175" s="22">
        <f t="shared" si="178"/>
        <v>7.3348646949328735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2.2737367544323206E-13</v>
      </c>
      <c r="EK175" s="17">
        <f>EJ175*VLOOKUP('Données projet'!$B$15,Paramètres!$A$1:$I$89,3,0)*VLOOKUP('Données projet'!$B$15,Paramètres!$A$1:$I$89,5,0)</f>
        <v>1.2710188457276673E-13</v>
      </c>
      <c r="EL175" s="13">
        <f t="shared" si="179"/>
        <v>1.856866851063998E-12</v>
      </c>
      <c r="EM175" s="20">
        <f t="shared" si="180"/>
        <v>3.4554122145673649E-12</v>
      </c>
      <c r="EN175" s="59">
        <f t="shared" si="128"/>
        <v>293.33333333333678</v>
      </c>
      <c r="EO175" s="59">
        <f ca="1">AVERAGE(OFFSET($EN$3,0,0,'Données projet'!$E$15+1,1))-AVERAGE(OFFSET($H$3,0,0,'Données projet'!$E$15+1,1))</f>
        <v>313.36787814924116</v>
      </c>
      <c r="EP175" s="59">
        <f t="shared" si="154"/>
        <v>438.72984487610216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26.400418012724472</v>
      </c>
      <c r="EW175" s="21">
        <f>EXP(-LN(2)/25)*EW174+(1-EXP(-LN(2)/25))/(LN(2)/25)*Calculateur!ER175*Calculateur!ET175*VLOOKUP('Données projet'!$B$15,Paramètres!$A$1:$I$89,3,0)*0.475*44/12</f>
        <v>2.1212838184370728</v>
      </c>
      <c r="EX175" s="21">
        <f>EXP(-LN(2)/2)*EX174+(1-EXP(-LN(2)/2))/(LN(2)/2)*ER175*EU175*VLOOKUP('Données projet'!$B$15,Paramètres!$A$1:$I$89,3,0)*0.475*44/12</f>
        <v>1.6448885223484395E-17</v>
      </c>
      <c r="EY175" s="22">
        <f t="shared" si="181"/>
        <v>28.521701831161543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-5.6843418860808015E-14</v>
      </c>
      <c r="O176" s="13">
        <f>N176*VLOOKUP('Données projet'!$B$9,Paramètres!$A$1:$I$89,3,0)*VLOOKUP('Données projet'!$B$9,Paramètres!$A$1:$I$89,5,0)</f>
        <v>-5.1431925385259088E-14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173.91998182168385</v>
      </c>
      <c r="T176" s="59">
        <f t="shared" si="142"/>
        <v>72.011647893875363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32.228417177631634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32.228417177631634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-2.8421709430404007E-14</v>
      </c>
      <c r="AJ176" s="13">
        <f>AI176*VLOOKUP('Données projet'!$B$10,Paramètres!$A$1:$I$89,3,0)*VLOOKUP('Données projet'!$B$10,Paramètres!$A$1:$I$89,5,0)</f>
        <v>-3.0593128030886874E-14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150.9416300233616</v>
      </c>
      <c r="AO176" s="59">
        <f t="shared" si="144"/>
        <v>92.286636088269972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15.666475938152065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15.666475938152065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-2.8421709430404007E-14</v>
      </c>
      <c r="BE176" s="13">
        <f>BD176*VLOOKUP('Données projet'!$B$11,Paramètres!$A$1:$I$89,3,0)*VLOOKUP('Données projet'!$B$11,Paramètres!$A$1:$I$89,5,0)</f>
        <v>-2.7489477361086758E-14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131.02416800340484</v>
      </c>
      <c r="BJ176" s="59">
        <f t="shared" si="146"/>
        <v>79.394119001888555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14.077123306745333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14.077123306745333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-2.8421709430404007E-14</v>
      </c>
      <c r="BZ176" s="13">
        <f>BY176*VLOOKUP('Données projet'!$B$12,Paramètres!$A$1:$I$89,3,0)*VLOOKUP('Données projet'!$B$12,Paramètres!$A$1:$I$89,5,0)</f>
        <v>-2.5715962692629544E-14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119.62076457560073</v>
      </c>
      <c r="CE176" s="59">
        <f t="shared" si="148"/>
        <v>72.011647893875363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13.168921803084332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13.168921803084332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-2.8421709430404007E-14</v>
      </c>
      <c r="CU176" s="17">
        <f>CT176*VLOOKUP('Données projet'!$B$13,Paramètres!$A$1:$I$89,3,0)*VLOOKUP('Données projet'!$B$13,Paramètres!$A$1:$I$89,5,0)</f>
        <v>-3.0593128030886874E-14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150.9416300233616</v>
      </c>
      <c r="CZ176" s="59">
        <f t="shared" si="150"/>
        <v>92.286636088269972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15.666475938152065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15.666475938152065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439.99999999999943</v>
      </c>
      <c r="DP176" s="17">
        <f>DO176*VLOOKUP('Données projet'!$B$14,Paramètres!$A$1:$I$89,3,0)*VLOOKUP('Données projet'!$B$14,Paramètres!$A$1:$I$89,5,0)</f>
        <v>263.11999999999966</v>
      </c>
      <c r="DQ176" s="13">
        <f t="shared" si="176"/>
        <v>63.386973458751953</v>
      </c>
      <c r="DR176" s="20">
        <f t="shared" si="177"/>
        <v>568.66631210732578</v>
      </c>
      <c r="DS176" s="59">
        <f t="shared" si="125"/>
        <v>861.99964544065915</v>
      </c>
      <c r="DT176" s="59">
        <f ca="1">AVERAGE(OFFSET($DS$3,0,0,'Données projet'!$E$14+1,1))-AVERAGE(OFFSET($H$3,0,0,'Données projet'!$E$14+1,1))</f>
        <v>249.22792522076639</v>
      </c>
      <c r="DU176" s="59">
        <f t="shared" si="152"/>
        <v>244.53725944480669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6.21409223628938</v>
      </c>
      <c r="EB176" s="21">
        <f>EXP(-LN(2)/25)*EB175+(1-EXP(-LN(2)/25))/(LN(2)/25)*Calculateur!DW176*Calculateur!DY176*VLOOKUP('Données projet'!$B$14,Paramètres!$A$1:$I$89,3,0)*0.475*44/12</f>
        <v>0.96923179806556292</v>
      </c>
      <c r="EC176" s="21">
        <f>EXP(-LN(2)/2)*EC175+(1-EXP(-LN(2)/2))/(LN(2)/2)*DW176*DZ176*VLOOKUP('Données projet'!$B$14,Paramètres!$A$1:$I$89,3,0)*0.475*44/12</f>
        <v>5.8220552849064636E-16</v>
      </c>
      <c r="ED176" s="22">
        <f t="shared" si="178"/>
        <v>7.1833240343549436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2.2737367544323206E-13</v>
      </c>
      <c r="EK176" s="17">
        <f>EJ176*VLOOKUP('Données projet'!$B$15,Paramètres!$A$1:$I$89,3,0)*VLOOKUP('Données projet'!$B$15,Paramètres!$A$1:$I$89,5,0)</f>
        <v>1.2710188457276673E-13</v>
      </c>
      <c r="EL176" s="13">
        <f t="shared" si="179"/>
        <v>1.856866851063998E-12</v>
      </c>
      <c r="EM176" s="20">
        <f t="shared" si="180"/>
        <v>3.4554122145673649E-12</v>
      </c>
      <c r="EN176" s="59">
        <f t="shared" si="128"/>
        <v>293.33333333333678</v>
      </c>
      <c r="EO176" s="59">
        <f ca="1">AVERAGE(OFFSET($EN$3,0,0,'Données projet'!$E$15+1,1))-AVERAGE(OFFSET($H$3,0,0,'Données projet'!$E$15+1,1))</f>
        <v>313.36787814924116</v>
      </c>
      <c r="EP176" s="59">
        <f t="shared" si="154"/>
        <v>438.72984487610216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25.882721918159927</v>
      </c>
      <c r="EW176" s="21">
        <f>EXP(-LN(2)/25)*EW175+(1-EXP(-LN(2)/25))/(LN(2)/25)*Calculateur!ER176*Calculateur!ET176*VLOOKUP('Données projet'!$B$15,Paramètres!$A$1:$I$89,3,0)*0.475*44/12</f>
        <v>2.0632772008684435</v>
      </c>
      <c r="EX176" s="21">
        <f>EXP(-LN(2)/2)*EX175+(1-EXP(-LN(2)/2))/(LN(2)/2)*ER176*EU176*VLOOKUP('Données projet'!$B$15,Paramètres!$A$1:$I$89,3,0)*0.475*44/12</f>
        <v>1.1631118284485015E-17</v>
      </c>
      <c r="EY176" s="22">
        <f t="shared" si="181"/>
        <v>27.945999119028372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-5.6843418860808015E-14</v>
      </c>
      <c r="O177" s="13">
        <f>N177*VLOOKUP('Données projet'!$B$9,Paramètres!$A$1:$I$89,3,0)*VLOOKUP('Données projet'!$B$9,Paramètres!$A$1:$I$89,5,0)</f>
        <v>-5.1431925385259088E-14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173.91998182168385</v>
      </c>
      <c r="T177" s="59">
        <f t="shared" si="142"/>
        <v>72.011647893875363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31.596437574171748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31.596437574171748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-2.8421709430404007E-14</v>
      </c>
      <c r="AJ177" s="13">
        <f>AI177*VLOOKUP('Données projet'!$B$10,Paramètres!$A$1:$I$89,3,0)*VLOOKUP('Données projet'!$B$10,Paramètres!$A$1:$I$89,5,0)</f>
        <v>-3.0593128030886874E-14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150.9416300233616</v>
      </c>
      <c r="AO177" s="59">
        <f t="shared" si="144"/>
        <v>92.286636088269972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15.359265900611687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15.359265900611687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-2.8421709430404007E-14</v>
      </c>
      <c r="BE177" s="13">
        <f>BD177*VLOOKUP('Données projet'!$B$11,Paramètres!$A$1:$I$89,3,0)*VLOOKUP('Données projet'!$B$11,Paramètres!$A$1:$I$89,5,0)</f>
        <v>-2.7489477361086758E-14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131.02416800340484</v>
      </c>
      <c r="BJ177" s="59">
        <f t="shared" si="146"/>
        <v>79.394119001888555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13.801079504897459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13.801079504897459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-2.8421709430404007E-14</v>
      </c>
      <c r="BZ177" s="13">
        <f>BY177*VLOOKUP('Données projet'!$B$12,Paramètres!$A$1:$I$89,3,0)*VLOOKUP('Données projet'!$B$12,Paramètres!$A$1:$I$89,5,0)</f>
        <v>-2.5715962692629544E-14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119.62076457560073</v>
      </c>
      <c r="CE177" s="59">
        <f t="shared" si="148"/>
        <v>72.011647893875363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12.910687278775029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12.910687278775029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-2.8421709430404007E-14</v>
      </c>
      <c r="CU177" s="17">
        <f>CT177*VLOOKUP('Données projet'!$B$13,Paramètres!$A$1:$I$89,3,0)*VLOOKUP('Données projet'!$B$13,Paramètres!$A$1:$I$89,5,0)</f>
        <v>-3.0593128030886874E-14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150.9416300233616</v>
      </c>
      <c r="CZ177" s="59">
        <f t="shared" si="150"/>
        <v>92.286636088269972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15.359265900611687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15.359265900611687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439.99999999999943</v>
      </c>
      <c r="DP177" s="17">
        <f>DO177*VLOOKUP('Données projet'!$B$14,Paramètres!$A$1:$I$89,3,0)*VLOOKUP('Données projet'!$B$14,Paramètres!$A$1:$I$89,5,0)</f>
        <v>263.11999999999966</v>
      </c>
      <c r="DQ177" s="13">
        <f t="shared" si="176"/>
        <v>63.386973458751953</v>
      </c>
      <c r="DR177" s="20">
        <f t="shared" si="177"/>
        <v>568.66631210732578</v>
      </c>
      <c r="DS177" s="59">
        <f t="shared" si="125"/>
        <v>861.99964544065915</v>
      </c>
      <c r="DT177" s="59">
        <f ca="1">AVERAGE(OFFSET($DS$3,0,0,'Données projet'!$E$14+1,1))-AVERAGE(OFFSET($H$3,0,0,'Données projet'!$E$14+1,1))</f>
        <v>249.22792522076639</v>
      </c>
      <c r="DU177" s="59">
        <f t="shared" si="152"/>
        <v>244.53725944480669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6.0922376777577565</v>
      </c>
      <c r="EB177" s="21">
        <f>EXP(-LN(2)/25)*EB176+(1-EXP(-LN(2)/25))/(LN(2)/25)*Calculateur!DW177*Calculateur!DY177*VLOOKUP('Données projet'!$B$14,Paramètres!$A$1:$I$89,3,0)*0.475*44/12</f>
        <v>0.94272810357777503</v>
      </c>
      <c r="EC177" s="21">
        <f>EXP(-LN(2)/2)*EC176+(1-EXP(-LN(2)/2))/(LN(2)/2)*DW177*DZ177*VLOOKUP('Données projet'!$B$14,Paramètres!$A$1:$I$89,3,0)*0.475*44/12</f>
        <v>4.1168147724003374E-16</v>
      </c>
      <c r="ED177" s="22">
        <f t="shared" si="178"/>
        <v>7.0349657813355311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2.2737367544323206E-13</v>
      </c>
      <c r="EK177" s="17">
        <f>EJ177*VLOOKUP('Données projet'!$B$15,Paramètres!$A$1:$I$89,3,0)*VLOOKUP('Données projet'!$B$15,Paramètres!$A$1:$I$89,5,0)</f>
        <v>1.2710188457276673E-13</v>
      </c>
      <c r="EL177" s="13">
        <f t="shared" si="179"/>
        <v>1.856866851063998E-12</v>
      </c>
      <c r="EM177" s="20">
        <f t="shared" si="180"/>
        <v>3.4554122145673649E-12</v>
      </c>
      <c r="EN177" s="59">
        <f t="shared" si="128"/>
        <v>293.33333333333678</v>
      </c>
      <c r="EO177" s="59">
        <f ca="1">AVERAGE(OFFSET($EN$3,0,0,'Données projet'!$E$15+1,1))-AVERAGE(OFFSET($H$3,0,0,'Données projet'!$E$15+1,1))</f>
        <v>313.36787814924116</v>
      </c>
      <c r="EP177" s="59">
        <f t="shared" si="154"/>
        <v>438.72984487610216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25.375177528246354</v>
      </c>
      <c r="EW177" s="21">
        <f>EXP(-LN(2)/25)*EW176+(1-EXP(-LN(2)/25))/(LN(2)/25)*Calculateur!ER177*Calculateur!ET177*VLOOKUP('Données projet'!$B$15,Paramètres!$A$1:$I$89,3,0)*0.475*44/12</f>
        <v>2.0068567773076635</v>
      </c>
      <c r="EX177" s="21">
        <f>EXP(-LN(2)/2)*EX176+(1-EXP(-LN(2)/2))/(LN(2)/2)*ER177*EU177*VLOOKUP('Données projet'!$B$15,Paramètres!$A$1:$I$89,3,0)*0.475*44/12</f>
        <v>8.2244426117421973E-18</v>
      </c>
      <c r="EY177" s="22">
        <f t="shared" si="181"/>
        <v>27.382034305554019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-5.6843418860808015E-14</v>
      </c>
      <c r="O178" s="13">
        <f>N178*VLOOKUP('Données projet'!$B$9,Paramètres!$A$1:$I$89,3,0)*VLOOKUP('Données projet'!$B$9,Paramètres!$A$1:$I$89,5,0)</f>
        <v>-5.1431925385259088E-14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173.91998182168385</v>
      </c>
      <c r="T178" s="59">
        <f t="shared" si="142"/>
        <v>72.011647893875363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30.976850705266216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30.976850705266216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-2.8421709430404007E-14</v>
      </c>
      <c r="AJ178" s="13">
        <f>AI178*VLOOKUP('Données projet'!$B$10,Paramètres!$A$1:$I$89,3,0)*VLOOKUP('Données projet'!$B$10,Paramètres!$A$1:$I$89,5,0)</f>
        <v>-3.0593128030886874E-14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150.9416300233616</v>
      </c>
      <c r="AO178" s="59">
        <f t="shared" si="144"/>
        <v>92.286636088269972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15.058080064527855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15.058080064527855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-2.8421709430404007E-14</v>
      </c>
      <c r="BE178" s="13">
        <f>BD178*VLOOKUP('Données projet'!$B$11,Paramètres!$A$1:$I$89,3,0)*VLOOKUP('Données projet'!$B$11,Paramètres!$A$1:$I$89,5,0)</f>
        <v>-2.7489477361086758E-14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131.02416800340484</v>
      </c>
      <c r="BJ178" s="59">
        <f t="shared" si="146"/>
        <v>79.394119001888555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13.530448753633726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13.530448753633726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-2.8421709430404007E-14</v>
      </c>
      <c r="BZ178" s="13">
        <f>BY178*VLOOKUP('Données projet'!$B$12,Paramètres!$A$1:$I$89,3,0)*VLOOKUP('Données projet'!$B$12,Paramètres!$A$1:$I$89,5,0)</f>
        <v>-2.5715962692629544E-14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119.62076457560073</v>
      </c>
      <c r="CE178" s="59">
        <f t="shared" si="148"/>
        <v>72.011647893875363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12.657516575979924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12.657516575979924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-2.8421709430404007E-14</v>
      </c>
      <c r="CU178" s="17">
        <f>CT178*VLOOKUP('Données projet'!$B$13,Paramètres!$A$1:$I$89,3,0)*VLOOKUP('Données projet'!$B$13,Paramètres!$A$1:$I$89,5,0)</f>
        <v>-3.0593128030886874E-14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150.9416300233616</v>
      </c>
      <c r="CZ178" s="59">
        <f t="shared" si="150"/>
        <v>92.286636088269972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15.058080064527855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15.058080064527855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439.99999999999943</v>
      </c>
      <c r="DP178" s="17">
        <f>DO178*VLOOKUP('Données projet'!$B$14,Paramètres!$A$1:$I$89,3,0)*VLOOKUP('Données projet'!$B$14,Paramètres!$A$1:$I$89,5,0)</f>
        <v>263.11999999999966</v>
      </c>
      <c r="DQ178" s="13">
        <f t="shared" si="176"/>
        <v>63.386973458751953</v>
      </c>
      <c r="DR178" s="20">
        <f t="shared" si="177"/>
        <v>568.66631210732578</v>
      </c>
      <c r="DS178" s="59">
        <f t="shared" si="125"/>
        <v>861.99964544065915</v>
      </c>
      <c r="DT178" s="59">
        <f ca="1">AVERAGE(OFFSET($DS$3,0,0,'Données projet'!$E$14+1,1))-AVERAGE(OFFSET($H$3,0,0,'Données projet'!$E$14+1,1))</f>
        <v>249.22792522076639</v>
      </c>
      <c r="DU178" s="59">
        <f t="shared" si="152"/>
        <v>244.53725944480669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5.972772612794996</v>
      </c>
      <c r="EB178" s="21">
        <f>EXP(-LN(2)/25)*EB177+(1-EXP(-LN(2)/25))/(LN(2)/25)*Calculateur!DW178*Calculateur!DY178*VLOOKUP('Données projet'!$B$14,Paramètres!$A$1:$I$89,3,0)*0.475*44/12</f>
        <v>0.91694915400952448</v>
      </c>
      <c r="EC178" s="21">
        <f>EXP(-LN(2)/2)*EC177+(1-EXP(-LN(2)/2))/(LN(2)/2)*DW178*DZ178*VLOOKUP('Données projet'!$B$14,Paramètres!$A$1:$I$89,3,0)*0.475*44/12</f>
        <v>2.9110276424532318E-16</v>
      </c>
      <c r="ED178" s="22">
        <f t="shared" si="178"/>
        <v>6.8897217668045201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2.2737367544323206E-13</v>
      </c>
      <c r="EK178" s="17">
        <f>EJ178*VLOOKUP('Données projet'!$B$15,Paramètres!$A$1:$I$89,3,0)*VLOOKUP('Données projet'!$B$15,Paramètres!$A$1:$I$89,5,0)</f>
        <v>1.2710188457276673E-13</v>
      </c>
      <c r="EL178" s="13">
        <f t="shared" si="179"/>
        <v>1.856866851063998E-12</v>
      </c>
      <c r="EM178" s="20">
        <f t="shared" si="180"/>
        <v>3.4554122145673649E-12</v>
      </c>
      <c r="EN178" s="59">
        <f t="shared" si="128"/>
        <v>293.33333333333678</v>
      </c>
      <c r="EO178" s="59">
        <f ca="1">AVERAGE(OFFSET($EN$3,0,0,'Données projet'!$E$15+1,1))-AVERAGE(OFFSET($H$3,0,0,'Données projet'!$E$15+1,1))</f>
        <v>313.36787814924116</v>
      </c>
      <c r="EP178" s="59">
        <f t="shared" si="154"/>
        <v>438.72984487610216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24.877585774247475</v>
      </c>
      <c r="EW178" s="21">
        <f>EXP(-LN(2)/25)*EW177+(1-EXP(-LN(2)/25))/(LN(2)/25)*Calculateur!ER178*Calculateur!ET178*VLOOKUP('Données projet'!$B$15,Paramètres!$A$1:$I$89,3,0)*0.475*44/12</f>
        <v>1.9519791731961742</v>
      </c>
      <c r="EX178" s="21">
        <f>EXP(-LN(2)/2)*EX177+(1-EXP(-LN(2)/2))/(LN(2)/2)*ER178*EU178*VLOOKUP('Données projet'!$B$15,Paramètres!$A$1:$I$89,3,0)*0.475*44/12</f>
        <v>5.8155591422425074E-18</v>
      </c>
      <c r="EY178" s="22">
        <f t="shared" si="181"/>
        <v>26.82956494744365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-5.6843418860808015E-14</v>
      </c>
      <c r="O179" s="13">
        <f>N179*VLOOKUP('Données projet'!$B$9,Paramètres!$A$1:$I$89,3,0)*VLOOKUP('Données projet'!$B$9,Paramètres!$A$1:$I$89,5,0)</f>
        <v>-5.1431925385259088E-14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173.91998182168385</v>
      </c>
      <c r="T179" s="59">
        <f t="shared" si="142"/>
        <v>72.011647893875363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30.369413556949247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30.369413556949247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-2.8421709430404007E-14</v>
      </c>
      <c r="AJ179" s="13">
        <f>AI179*VLOOKUP('Données projet'!$B$10,Paramètres!$A$1:$I$89,3,0)*VLOOKUP('Données projet'!$B$10,Paramètres!$A$1:$I$89,5,0)</f>
        <v>-3.0593128030886874E-14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150.9416300233616</v>
      </c>
      <c r="AO179" s="59">
        <f t="shared" si="144"/>
        <v>92.286636088269972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14.762800298984407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14.762800298984407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-2.8421709430404007E-14</v>
      </c>
      <c r="BE179" s="13">
        <f>BD179*VLOOKUP('Données projet'!$B$11,Paramètres!$A$1:$I$89,3,0)*VLOOKUP('Données projet'!$B$11,Paramètres!$A$1:$I$89,5,0)</f>
        <v>-2.7489477361086758E-14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131.02416800340484</v>
      </c>
      <c r="BJ179" s="59">
        <f t="shared" si="146"/>
        <v>79.394119001888555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13.265124906333815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13.265124906333815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-2.8421709430404007E-14</v>
      </c>
      <c r="BZ179" s="13">
        <f>BY179*VLOOKUP('Données projet'!$B$12,Paramètres!$A$1:$I$89,3,0)*VLOOKUP('Données projet'!$B$12,Paramètres!$A$1:$I$89,5,0)</f>
        <v>-2.5715962692629544E-14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119.62076457560073</v>
      </c>
      <c r="CE179" s="59">
        <f t="shared" si="148"/>
        <v>72.011647893875363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12.409310396247751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12.409310396247751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-2.8421709430404007E-14</v>
      </c>
      <c r="CU179" s="17">
        <f>CT179*VLOOKUP('Données projet'!$B$13,Paramètres!$A$1:$I$89,3,0)*VLOOKUP('Données projet'!$B$13,Paramètres!$A$1:$I$89,5,0)</f>
        <v>-3.0593128030886874E-14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150.9416300233616</v>
      </c>
      <c r="CZ179" s="59">
        <f t="shared" si="150"/>
        <v>92.286636088269972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14.762800298984407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14.762800298984407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439.99999999999943</v>
      </c>
      <c r="DP179" s="17">
        <f>DO179*VLOOKUP('Données projet'!$B$14,Paramètres!$A$1:$I$89,3,0)*VLOOKUP('Données projet'!$B$14,Paramètres!$A$1:$I$89,5,0)</f>
        <v>263.11999999999966</v>
      </c>
      <c r="DQ179" s="13">
        <f t="shared" si="176"/>
        <v>63.386973458751953</v>
      </c>
      <c r="DR179" s="20">
        <f t="shared" si="177"/>
        <v>568.66631210732578</v>
      </c>
      <c r="DS179" s="59">
        <f t="shared" si="125"/>
        <v>861.99964544065915</v>
      </c>
      <c r="DT179" s="59">
        <f ca="1">AVERAGE(OFFSET($DS$3,0,0,'Données projet'!$E$14+1,1))-AVERAGE(OFFSET($H$3,0,0,'Données projet'!$E$14+1,1))</f>
        <v>249.22792522076639</v>
      </c>
      <c r="DU179" s="59">
        <f t="shared" si="152"/>
        <v>244.53725944480669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5.8556501848896607</v>
      </c>
      <c r="EB179" s="21">
        <f>EXP(-LN(2)/25)*EB178+(1-EXP(-LN(2)/25))/(LN(2)/25)*Calculateur!DW179*Calculateur!DY179*VLOOKUP('Données projet'!$B$14,Paramètres!$A$1:$I$89,3,0)*0.475*44/12</f>
        <v>0.89187513117287376</v>
      </c>
      <c r="EC179" s="21">
        <f>EXP(-LN(2)/2)*EC178+(1-EXP(-LN(2)/2))/(LN(2)/2)*DW179*DZ179*VLOOKUP('Données projet'!$B$14,Paramètres!$A$1:$I$89,3,0)*0.475*44/12</f>
        <v>2.0584073862001687E-16</v>
      </c>
      <c r="ED179" s="22">
        <f t="shared" si="178"/>
        <v>6.7475253160625348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2.2737367544323206E-13</v>
      </c>
      <c r="EK179" s="17">
        <f>EJ179*VLOOKUP('Données projet'!$B$15,Paramètres!$A$1:$I$89,3,0)*VLOOKUP('Données projet'!$B$15,Paramètres!$A$1:$I$89,5,0)</f>
        <v>1.2710188457276673E-13</v>
      </c>
      <c r="EL179" s="13">
        <f t="shared" si="179"/>
        <v>1.856866851063998E-12</v>
      </c>
      <c r="EM179" s="20">
        <f t="shared" si="180"/>
        <v>3.4554122145673649E-12</v>
      </c>
      <c r="EN179" s="59">
        <f t="shared" si="128"/>
        <v>293.33333333333678</v>
      </c>
      <c r="EO179" s="59">
        <f ca="1">AVERAGE(OFFSET($EN$3,0,0,'Données projet'!$E$15+1,1))-AVERAGE(OFFSET($H$3,0,0,'Données projet'!$E$15+1,1))</f>
        <v>313.36787814924116</v>
      </c>
      <c r="EP179" s="59">
        <f t="shared" si="154"/>
        <v>438.72984487610216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24.389751491043512</v>
      </c>
      <c r="EW179" s="21">
        <f>EXP(-LN(2)/25)*EW178+(1-EXP(-LN(2)/25))/(LN(2)/25)*Calculateur!ER179*Calculateur!ET179*VLOOKUP('Données projet'!$B$15,Paramètres!$A$1:$I$89,3,0)*0.475*44/12</f>
        <v>1.8986022000550014</v>
      </c>
      <c r="EX179" s="21">
        <f>EXP(-LN(2)/2)*EX178+(1-EXP(-LN(2)/2))/(LN(2)/2)*ER179*EU179*VLOOKUP('Données projet'!$B$15,Paramètres!$A$1:$I$89,3,0)*0.475*44/12</f>
        <v>4.1122213058710986E-18</v>
      </c>
      <c r="EY179" s="22">
        <f t="shared" si="181"/>
        <v>26.288353691098514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-5.6843418860808015E-14</v>
      </c>
      <c r="O180" s="13">
        <f>N180*VLOOKUP('Données projet'!$B$9,Paramètres!$A$1:$I$89,3,0)*VLOOKUP('Données projet'!$B$9,Paramètres!$A$1:$I$89,5,0)</f>
        <v>-5.1431925385259088E-14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173.91998182168385</v>
      </c>
      <c r="T180" s="59">
        <f t="shared" si="142"/>
        <v>72.011647893875363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29.773887880610697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29.773887880610697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-2.8421709430404007E-14</v>
      </c>
      <c r="AJ180" s="13">
        <f>AI180*VLOOKUP('Données projet'!$B$10,Paramètres!$A$1:$I$89,3,0)*VLOOKUP('Données projet'!$B$10,Paramètres!$A$1:$I$89,5,0)</f>
        <v>-3.0593128030886874E-14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150.9416300233616</v>
      </c>
      <c r="AO180" s="59">
        <f t="shared" si="144"/>
        <v>92.286636088269972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14.473310789540394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14.473310789540394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-2.8421709430404007E-14</v>
      </c>
      <c r="BE180" s="13">
        <f>BD180*VLOOKUP('Données projet'!$B$11,Paramètres!$A$1:$I$89,3,0)*VLOOKUP('Données projet'!$B$11,Paramètres!$A$1:$I$89,5,0)</f>
        <v>-2.7489477361086758E-14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131.02416800340484</v>
      </c>
      <c r="BJ180" s="59">
        <f t="shared" si="146"/>
        <v>79.394119001888555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13.005003897847889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13.005003897847889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-2.8421709430404007E-14</v>
      </c>
      <c r="BZ180" s="13">
        <f>BY180*VLOOKUP('Données projet'!$B$12,Paramètres!$A$1:$I$89,3,0)*VLOOKUP('Données projet'!$B$12,Paramètres!$A$1:$I$89,5,0)</f>
        <v>-2.5715962692629544E-14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119.62076457560073</v>
      </c>
      <c r="CE180" s="59">
        <f t="shared" si="148"/>
        <v>72.011647893875363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12.165971388309304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12.165971388309304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-2.8421709430404007E-14</v>
      </c>
      <c r="CU180" s="17">
        <f>CT180*VLOOKUP('Données projet'!$B$13,Paramètres!$A$1:$I$89,3,0)*VLOOKUP('Données projet'!$B$13,Paramètres!$A$1:$I$89,5,0)</f>
        <v>-3.0593128030886874E-14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150.9416300233616</v>
      </c>
      <c r="CZ180" s="59">
        <f t="shared" si="150"/>
        <v>92.286636088269972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14.473310789540394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14.473310789540394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439.99999999999943</v>
      </c>
      <c r="DP180" s="17">
        <f>DO180*VLOOKUP('Données projet'!$B$14,Paramètres!$A$1:$I$89,3,0)*VLOOKUP('Données projet'!$B$14,Paramètres!$A$1:$I$89,5,0)</f>
        <v>263.11999999999966</v>
      </c>
      <c r="DQ180" s="13">
        <f t="shared" si="176"/>
        <v>63.386973458751953</v>
      </c>
      <c r="DR180" s="20">
        <f t="shared" si="177"/>
        <v>568.66631210732578</v>
      </c>
      <c r="DS180" s="59">
        <f t="shared" si="125"/>
        <v>861.99964544065915</v>
      </c>
      <c r="DT180" s="59">
        <f ca="1">AVERAGE(OFFSET($DS$3,0,0,'Données projet'!$E$14+1,1))-AVERAGE(OFFSET($H$3,0,0,'Données projet'!$E$14+1,1))</f>
        <v>249.22792522076639</v>
      </c>
      <c r="DU180" s="59">
        <f t="shared" si="152"/>
        <v>244.53725944480669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5.740824456357922</v>
      </c>
      <c r="EB180" s="21">
        <f>EXP(-LN(2)/25)*EB179+(1-EXP(-LN(2)/25))/(LN(2)/25)*Calculateur!DW180*Calculateur!DY180*VLOOKUP('Données projet'!$B$14,Paramètres!$A$1:$I$89,3,0)*0.475*44/12</f>
        <v>0.86748675880927684</v>
      </c>
      <c r="EC180" s="21">
        <f>EXP(-LN(2)/2)*EC179+(1-EXP(-LN(2)/2))/(LN(2)/2)*DW180*DZ180*VLOOKUP('Données projet'!$B$14,Paramètres!$A$1:$I$89,3,0)*0.475*44/12</f>
        <v>1.4555138212266159E-16</v>
      </c>
      <c r="ED180" s="22">
        <f t="shared" si="178"/>
        <v>6.6083112151671992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2.2737367544323206E-13</v>
      </c>
      <c r="EK180" s="17">
        <f>EJ180*VLOOKUP('Données projet'!$B$15,Paramètres!$A$1:$I$89,3,0)*VLOOKUP('Données projet'!$B$15,Paramètres!$A$1:$I$89,5,0)</f>
        <v>1.2710188457276673E-13</v>
      </c>
      <c r="EL180" s="13">
        <f t="shared" si="179"/>
        <v>1.856866851063998E-12</v>
      </c>
      <c r="EM180" s="20">
        <f t="shared" si="180"/>
        <v>3.4554122145673649E-12</v>
      </c>
      <c r="EN180" s="59">
        <f t="shared" si="128"/>
        <v>293.33333333333678</v>
      </c>
      <c r="EO180" s="59">
        <f ca="1">AVERAGE(OFFSET($EN$3,0,0,'Données projet'!$E$15+1,1))-AVERAGE(OFFSET($H$3,0,0,'Données projet'!$E$15+1,1))</f>
        <v>313.36787814924116</v>
      </c>
      <c r="EP180" s="59">
        <f t="shared" si="154"/>
        <v>438.72984487610216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23.911483340583647</v>
      </c>
      <c r="EW180" s="21">
        <f>EXP(-LN(2)/25)*EW179+(1-EXP(-LN(2)/25))/(LN(2)/25)*Calculateur!ER180*Calculateur!ET180*VLOOKUP('Données projet'!$B$15,Paramètres!$A$1:$I$89,3,0)*0.475*44/12</f>
        <v>1.8466848230513468</v>
      </c>
      <c r="EX180" s="21">
        <f>EXP(-LN(2)/2)*EX179+(1-EXP(-LN(2)/2))/(LN(2)/2)*ER180*EU180*VLOOKUP('Données projet'!$B$15,Paramètres!$A$1:$I$89,3,0)*0.475*44/12</f>
        <v>2.9077795711212537E-18</v>
      </c>
      <c r="EY180" s="22">
        <f t="shared" si="181"/>
        <v>25.758168163634995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-5.6843418860808015E-14</v>
      </c>
      <c r="O181" s="13">
        <f>N181*VLOOKUP('Données projet'!$B$9,Paramètres!$A$1:$I$89,3,0)*VLOOKUP('Données projet'!$B$9,Paramètres!$A$1:$I$89,5,0)</f>
        <v>-5.1431925385259088E-14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173.91998182168385</v>
      </c>
      <c r="T181" s="59">
        <f t="shared" si="142"/>
        <v>72.011647893875363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29.190040099550352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29.190040099550352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-2.8421709430404007E-14</v>
      </c>
      <c r="AJ181" s="13">
        <f>AI181*VLOOKUP('Données projet'!$B$10,Paramètres!$A$1:$I$89,3,0)*VLOOKUP('Données projet'!$B$10,Paramètres!$A$1:$I$89,5,0)</f>
        <v>-3.0593128030886874E-14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150.9416300233616</v>
      </c>
      <c r="AO181" s="59">
        <f t="shared" si="144"/>
        <v>92.286636088269972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14.189497992805411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14.189497992805411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-2.8421709430404007E-14</v>
      </c>
      <c r="BE181" s="13">
        <f>BD181*VLOOKUP('Données projet'!$B$11,Paramètres!$A$1:$I$89,3,0)*VLOOKUP('Données projet'!$B$11,Paramètres!$A$1:$I$89,5,0)</f>
        <v>-2.7489477361086758E-14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131.02416800340484</v>
      </c>
      <c r="BJ181" s="59">
        <f t="shared" si="146"/>
        <v>79.394119001888555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12.749983703680224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12.749983703680224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-2.8421709430404007E-14</v>
      </c>
      <c r="BZ181" s="13">
        <f>BY181*VLOOKUP('Données projet'!$B$12,Paramètres!$A$1:$I$89,3,0)*VLOOKUP('Données projet'!$B$12,Paramètres!$A$1:$I$89,5,0)</f>
        <v>-2.5715962692629544E-14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119.62076457560073</v>
      </c>
      <c r="CE181" s="59">
        <f t="shared" si="148"/>
        <v>72.011647893875363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11.927404109894391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11.927404109894391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-2.8421709430404007E-14</v>
      </c>
      <c r="CU181" s="17">
        <f>CT181*VLOOKUP('Données projet'!$B$13,Paramètres!$A$1:$I$89,3,0)*VLOOKUP('Données projet'!$B$13,Paramètres!$A$1:$I$89,5,0)</f>
        <v>-3.0593128030886874E-14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150.9416300233616</v>
      </c>
      <c r="CZ181" s="59">
        <f t="shared" si="150"/>
        <v>92.286636088269972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14.189497992805411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14.189497992805411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439.99999999999943</v>
      </c>
      <c r="DP181" s="17">
        <f>DO181*VLOOKUP('Données projet'!$B$14,Paramètres!$A$1:$I$89,3,0)*VLOOKUP('Données projet'!$B$14,Paramètres!$A$1:$I$89,5,0)</f>
        <v>263.11999999999966</v>
      </c>
      <c r="DQ181" s="13">
        <f t="shared" si="176"/>
        <v>63.386973458751953</v>
      </c>
      <c r="DR181" s="20">
        <f t="shared" si="177"/>
        <v>568.66631210732578</v>
      </c>
      <c r="DS181" s="59">
        <f t="shared" si="125"/>
        <v>861.99964544065915</v>
      </c>
      <c r="DT181" s="59">
        <f ca="1">AVERAGE(OFFSET($DS$3,0,0,'Données projet'!$E$14+1,1))-AVERAGE(OFFSET($H$3,0,0,'Données projet'!$E$14+1,1))</f>
        <v>249.22792522076639</v>
      </c>
      <c r="DU181" s="59">
        <f t="shared" si="152"/>
        <v>244.53725944480669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5.6282503903259116</v>
      </c>
      <c r="EB181" s="21">
        <f>EXP(-LN(2)/25)*EB180+(1-EXP(-LN(2)/25))/(LN(2)/25)*Calculateur!DW181*Calculateur!DY181*VLOOKUP('Données projet'!$B$14,Paramètres!$A$1:$I$89,3,0)*0.475*44/12</f>
        <v>0.8437652877704912</v>
      </c>
      <c r="EC181" s="21">
        <f>EXP(-LN(2)/2)*EC180+(1-EXP(-LN(2)/2))/(LN(2)/2)*DW181*DZ181*VLOOKUP('Données projet'!$B$14,Paramètres!$A$1:$I$89,3,0)*0.475*44/12</f>
        <v>1.0292036931000844E-16</v>
      </c>
      <c r="ED181" s="22">
        <f t="shared" si="178"/>
        <v>6.4720156780964029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2.2737367544323206E-13</v>
      </c>
      <c r="EK181" s="17">
        <f>EJ181*VLOOKUP('Données projet'!$B$15,Paramètres!$A$1:$I$89,3,0)*VLOOKUP('Données projet'!$B$15,Paramètres!$A$1:$I$89,5,0)</f>
        <v>1.2710188457276673E-13</v>
      </c>
      <c r="EL181" s="13">
        <f t="shared" si="179"/>
        <v>1.856866851063998E-12</v>
      </c>
      <c r="EM181" s="20">
        <f t="shared" si="180"/>
        <v>3.4554122145673649E-12</v>
      </c>
      <c r="EN181" s="59">
        <f t="shared" si="128"/>
        <v>293.33333333333678</v>
      </c>
      <c r="EO181" s="59">
        <f ca="1">AVERAGE(OFFSET($EN$3,0,0,'Données projet'!$E$15+1,1))-AVERAGE(OFFSET($H$3,0,0,'Données projet'!$E$15+1,1))</f>
        <v>313.36787814924116</v>
      </c>
      <c r="EP181" s="59">
        <f t="shared" si="154"/>
        <v>438.72984487610216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23.442593736839534</v>
      </c>
      <c r="EW181" s="21">
        <f>EXP(-LN(2)/25)*EW180+(1-EXP(-LN(2)/25))/(LN(2)/25)*Calculateur!ER181*Calculateur!ET181*VLOOKUP('Données projet'!$B$15,Paramètres!$A$1:$I$89,3,0)*0.475*44/12</f>
        <v>1.7961871294520735</v>
      </c>
      <c r="EX181" s="21">
        <f>EXP(-LN(2)/2)*EX180+(1-EXP(-LN(2)/2))/(LN(2)/2)*ER181*EU181*VLOOKUP('Données projet'!$B$15,Paramètres!$A$1:$I$89,3,0)*0.475*44/12</f>
        <v>2.0561106529355493E-18</v>
      </c>
      <c r="EY181" s="22">
        <f t="shared" si="181"/>
        <v>25.238780866291606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-5.6843418860808015E-14</v>
      </c>
      <c r="O182" s="13">
        <f>N182*VLOOKUP('Données projet'!$B$9,Paramètres!$A$1:$I$89,3,0)*VLOOKUP('Données projet'!$B$9,Paramètres!$A$1:$I$89,5,0)</f>
        <v>-5.1431925385259088E-14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173.91998182168385</v>
      </c>
      <c r="T182" s="59">
        <f t="shared" si="142"/>
        <v>72.011647893875363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28.617641217364614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28.617641217364614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-2.8421709430404007E-14</v>
      </c>
      <c r="AJ182" s="13">
        <f>AI182*VLOOKUP('Données projet'!$B$10,Paramètres!$A$1:$I$89,3,0)*VLOOKUP('Données projet'!$B$10,Paramètres!$A$1:$I$89,5,0)</f>
        <v>-3.0593128030886874E-14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150.9416300233616</v>
      </c>
      <c r="AO182" s="59">
        <f t="shared" si="144"/>
        <v>92.286636088269972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13.911250591905688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13.911250591905688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-2.8421709430404007E-14</v>
      </c>
      <c r="BE182" s="13">
        <f>BD182*VLOOKUP('Données projet'!$B$11,Paramètres!$A$1:$I$89,3,0)*VLOOKUP('Données projet'!$B$11,Paramètres!$A$1:$I$89,5,0)</f>
        <v>-2.7489477361086758E-14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131.02416800340484</v>
      </c>
      <c r="BJ182" s="59">
        <f t="shared" si="146"/>
        <v>79.394119001888555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12.499964299973227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12.499964299973227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-2.8421709430404007E-14</v>
      </c>
      <c r="BZ182" s="13">
        <f>BY182*VLOOKUP('Données projet'!$B$12,Paramètres!$A$1:$I$89,3,0)*VLOOKUP('Données projet'!$B$12,Paramètres!$A$1:$I$89,5,0)</f>
        <v>-2.5715962692629544E-14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119.62076457560073</v>
      </c>
      <c r="CE182" s="59">
        <f t="shared" si="148"/>
        <v>72.011647893875363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11.693514990297523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11.693514990297523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-2.8421709430404007E-14</v>
      </c>
      <c r="CU182" s="17">
        <f>CT182*VLOOKUP('Données projet'!$B$13,Paramètres!$A$1:$I$89,3,0)*VLOOKUP('Données projet'!$B$13,Paramètres!$A$1:$I$89,5,0)</f>
        <v>-3.0593128030886874E-14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150.9416300233616</v>
      </c>
      <c r="CZ182" s="59">
        <f t="shared" si="150"/>
        <v>92.286636088269972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13.911250591905688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13.911250591905688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439.99999999999943</v>
      </c>
      <c r="DP182" s="17">
        <f>DO182*VLOOKUP('Données projet'!$B$14,Paramètres!$A$1:$I$89,3,0)*VLOOKUP('Données projet'!$B$14,Paramètres!$A$1:$I$89,5,0)</f>
        <v>263.11999999999966</v>
      </c>
      <c r="DQ182" s="13">
        <f t="shared" si="176"/>
        <v>63.386973458751953</v>
      </c>
      <c r="DR182" s="20">
        <f t="shared" si="177"/>
        <v>568.66631210732578</v>
      </c>
      <c r="DS182" s="59">
        <f t="shared" si="125"/>
        <v>861.99964544065915</v>
      </c>
      <c r="DT182" s="59">
        <f ca="1">AVERAGE(OFFSET($DS$3,0,0,'Données projet'!$E$14+1,1))-AVERAGE(OFFSET($H$3,0,0,'Données projet'!$E$14+1,1))</f>
        <v>249.22792522076639</v>
      </c>
      <c r="DU182" s="59">
        <f t="shared" si="152"/>
        <v>244.53725944480669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5.5178838330653885</v>
      </c>
      <c r="EB182" s="21">
        <f>EXP(-LN(2)/25)*EB181+(1-EXP(-LN(2)/25))/(LN(2)/25)*Calculateur!DW182*Calculateur!DY182*VLOOKUP('Données projet'!$B$14,Paramètres!$A$1:$I$89,3,0)*0.475*44/12</f>
        <v>0.82069248160471908</v>
      </c>
      <c r="EC182" s="21">
        <f>EXP(-LN(2)/2)*EC181+(1-EXP(-LN(2)/2))/(LN(2)/2)*DW182*DZ182*VLOOKUP('Données projet'!$B$14,Paramètres!$A$1:$I$89,3,0)*0.475*44/12</f>
        <v>7.2775691061330795E-17</v>
      </c>
      <c r="ED182" s="22">
        <f t="shared" si="178"/>
        <v>6.3385763146701075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2.2737367544323206E-13</v>
      </c>
      <c r="EK182" s="17">
        <f>EJ182*VLOOKUP('Données projet'!$B$15,Paramètres!$A$1:$I$89,3,0)*VLOOKUP('Données projet'!$B$15,Paramètres!$A$1:$I$89,5,0)</f>
        <v>1.2710188457276673E-13</v>
      </c>
      <c r="EL182" s="13">
        <f t="shared" si="179"/>
        <v>1.856866851063998E-12</v>
      </c>
      <c r="EM182" s="20">
        <f t="shared" si="180"/>
        <v>3.4554122145673649E-12</v>
      </c>
      <c r="EN182" s="59">
        <f t="shared" si="128"/>
        <v>293.33333333333678</v>
      </c>
      <c r="EO182" s="59">
        <f ca="1">AVERAGE(OFFSET($EN$3,0,0,'Données projet'!$E$15+1,1))-AVERAGE(OFFSET($H$3,0,0,'Données projet'!$E$15+1,1))</f>
        <v>313.36787814924116</v>
      </c>
      <c r="EP182" s="59">
        <f t="shared" si="154"/>
        <v>438.72984487610216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22.982898772230424</v>
      </c>
      <c r="EW182" s="21">
        <f>EXP(-LN(2)/25)*EW181+(1-EXP(-LN(2)/25))/(LN(2)/25)*Calculateur!ER182*Calculateur!ET182*VLOOKUP('Données projet'!$B$15,Paramètres!$A$1:$I$89,3,0)*0.475*44/12</f>
        <v>1.7470702979398307</v>
      </c>
      <c r="EX182" s="21">
        <f>EXP(-LN(2)/2)*EX181+(1-EXP(-LN(2)/2))/(LN(2)/2)*ER182*EU182*VLOOKUP('Données projet'!$B$15,Paramètres!$A$1:$I$89,3,0)*0.475*44/12</f>
        <v>1.4538897855606269E-18</v>
      </c>
      <c r="EY182" s="22">
        <f t="shared" si="181"/>
        <v>24.729969070170256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-5.6843418860808015E-14</v>
      </c>
      <c r="O183" s="13">
        <f>N183*VLOOKUP('Données projet'!$B$9,Paramètres!$A$1:$I$89,3,0)*VLOOKUP('Données projet'!$B$9,Paramètres!$A$1:$I$89,5,0)</f>
        <v>-5.1431925385259088E-14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173.91998182168385</v>
      </c>
      <c r="T183" s="59">
        <f t="shared" si="142"/>
        <v>72.011647893875363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28.056466728129696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28.056466728129696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-2.8421709430404007E-14</v>
      </c>
      <c r="AJ183" s="13">
        <f>AI183*VLOOKUP('Données projet'!$B$10,Paramètres!$A$1:$I$89,3,0)*VLOOKUP('Données projet'!$B$10,Paramètres!$A$1:$I$89,5,0)</f>
        <v>-3.0593128030886874E-14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150.9416300233616</v>
      </c>
      <c r="AO183" s="59">
        <f t="shared" si="144"/>
        <v>92.286636088269972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13.638459452823453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13.638459452823453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-2.8421709430404007E-14</v>
      </c>
      <c r="BE183" s="13">
        <f>BD183*VLOOKUP('Données projet'!$B$11,Paramètres!$A$1:$I$89,3,0)*VLOOKUP('Données projet'!$B$11,Paramètres!$A$1:$I$89,5,0)</f>
        <v>-2.7489477361086758E-14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131.02416800340484</v>
      </c>
      <c r="BJ183" s="59">
        <f t="shared" si="146"/>
        <v>79.394119001888555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12.254847624276145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12.254847624276145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-2.8421709430404007E-14</v>
      </c>
      <c r="BZ183" s="13">
        <f>BY183*VLOOKUP('Données projet'!$B$12,Paramètres!$A$1:$I$89,3,0)*VLOOKUP('Données projet'!$B$12,Paramètres!$A$1:$I$89,5,0)</f>
        <v>-2.5715962692629544E-14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119.62076457560073</v>
      </c>
      <c r="CE183" s="59">
        <f t="shared" si="148"/>
        <v>72.011647893875363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11.464212293677672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11.464212293677672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-2.8421709430404007E-14</v>
      </c>
      <c r="CU183" s="17">
        <f>CT183*VLOOKUP('Données projet'!$B$13,Paramètres!$A$1:$I$89,3,0)*VLOOKUP('Données projet'!$B$13,Paramètres!$A$1:$I$89,5,0)</f>
        <v>-3.0593128030886874E-14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150.9416300233616</v>
      </c>
      <c r="CZ183" s="59">
        <f t="shared" si="150"/>
        <v>92.286636088269972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13.638459452823453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13.638459452823453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439.99999999999943</v>
      </c>
      <c r="DP183" s="17">
        <f>DO183*VLOOKUP('Données projet'!$B$14,Paramètres!$A$1:$I$89,3,0)*VLOOKUP('Données projet'!$B$14,Paramètres!$A$1:$I$89,5,0)</f>
        <v>263.11999999999966</v>
      </c>
      <c r="DQ183" s="13">
        <f t="shared" si="176"/>
        <v>63.386973458751953</v>
      </c>
      <c r="DR183" s="20">
        <f t="shared" si="177"/>
        <v>568.66631210732578</v>
      </c>
      <c r="DS183" s="59">
        <f t="shared" si="125"/>
        <v>861.99964544065915</v>
      </c>
      <c r="DT183" s="59">
        <f ca="1">AVERAGE(OFFSET($DS$3,0,0,'Données projet'!$E$14+1,1))-AVERAGE(OFFSET($H$3,0,0,'Données projet'!$E$14+1,1))</f>
        <v>249.22792522076639</v>
      </c>
      <c r="DU183" s="59">
        <f t="shared" si="152"/>
        <v>244.53725944480669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5.4096814966757911</v>
      </c>
      <c r="EB183" s="21">
        <f>EXP(-LN(2)/25)*EB182+(1-EXP(-LN(2)/25))/(LN(2)/25)*Calculateur!DW183*Calculateur!DY183*VLOOKUP('Données projet'!$B$14,Paramètres!$A$1:$I$89,3,0)*0.475*44/12</f>
        <v>0.79825060253689617</v>
      </c>
      <c r="EC183" s="21">
        <f>EXP(-LN(2)/2)*EC182+(1-EXP(-LN(2)/2))/(LN(2)/2)*DW183*DZ183*VLOOKUP('Données projet'!$B$14,Paramètres!$A$1:$I$89,3,0)*0.475*44/12</f>
        <v>5.1460184655004218E-17</v>
      </c>
      <c r="ED183" s="22">
        <f t="shared" si="178"/>
        <v>6.2079320992126874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2.2737367544323206E-13</v>
      </c>
      <c r="EK183" s="17">
        <f>EJ183*VLOOKUP('Données projet'!$B$15,Paramètres!$A$1:$I$89,3,0)*VLOOKUP('Données projet'!$B$15,Paramètres!$A$1:$I$89,5,0)</f>
        <v>1.2710188457276673E-13</v>
      </c>
      <c r="EL183" s="13">
        <f t="shared" si="179"/>
        <v>1.856866851063998E-12</v>
      </c>
      <c r="EM183" s="20">
        <f t="shared" si="180"/>
        <v>3.4554122145673649E-12</v>
      </c>
      <c r="EN183" s="59">
        <f t="shared" si="128"/>
        <v>293.33333333333678</v>
      </c>
      <c r="EO183" s="59">
        <f ca="1">AVERAGE(OFFSET($EN$3,0,0,'Données projet'!$E$15+1,1))-AVERAGE(OFFSET($H$3,0,0,'Données projet'!$E$15+1,1))</f>
        <v>313.36787814924116</v>
      </c>
      <c r="EP183" s="59">
        <f t="shared" si="154"/>
        <v>438.72984487610216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22.532218145491054</v>
      </c>
      <c r="EW183" s="21">
        <f>EXP(-LN(2)/25)*EW182+(1-EXP(-LN(2)/25))/(LN(2)/25)*Calculateur!ER183*Calculateur!ET183*VLOOKUP('Données projet'!$B$15,Paramètres!$A$1:$I$89,3,0)*0.475*44/12</f>
        <v>1.699296568768232</v>
      </c>
      <c r="EX183" s="21">
        <f>EXP(-LN(2)/2)*EX182+(1-EXP(-LN(2)/2))/(LN(2)/2)*ER183*EU183*VLOOKUP('Données projet'!$B$15,Paramètres!$A$1:$I$89,3,0)*0.475*44/12</f>
        <v>1.0280553264677747E-18</v>
      </c>
      <c r="EY183" s="22">
        <f t="shared" si="181"/>
        <v>24.231514714259287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-5.6843418860808015E-14</v>
      </c>
      <c r="O184" s="13">
        <f>N184*VLOOKUP('Données projet'!$B$9,Paramètres!$A$1:$I$89,3,0)*VLOOKUP('Données projet'!$B$9,Paramètres!$A$1:$I$89,5,0)</f>
        <v>-5.1431925385259088E-14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173.91998182168385</v>
      </c>
      <c r="T184" s="59">
        <f t="shared" si="142"/>
        <v>72.011647893875363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27.506296528346031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27.506296528346031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-2.8421709430404007E-14</v>
      </c>
      <c r="AJ184" s="13">
        <f>AI184*VLOOKUP('Données projet'!$B$10,Paramètres!$A$1:$I$89,3,0)*VLOOKUP('Données projet'!$B$10,Paramètres!$A$1:$I$89,5,0)</f>
        <v>-3.0593128030886874E-14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150.9416300233616</v>
      </c>
      <c r="AO184" s="59">
        <f t="shared" si="144"/>
        <v>92.286636088269972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13.371017581592454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13.371017581592454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-2.8421709430404007E-14</v>
      </c>
      <c r="BE184" s="13">
        <f>BD184*VLOOKUP('Données projet'!$B$11,Paramètres!$A$1:$I$89,3,0)*VLOOKUP('Données projet'!$B$11,Paramètres!$A$1:$I$89,5,0)</f>
        <v>-2.7489477361086758E-14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131.02416800340484</v>
      </c>
      <c r="BJ184" s="59">
        <f t="shared" si="146"/>
        <v>79.394119001888555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12.014537537083074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12.014537537083074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-2.8421709430404007E-14</v>
      </c>
      <c r="BZ184" s="13">
        <f>BY184*VLOOKUP('Données projet'!$B$12,Paramètres!$A$1:$I$89,3,0)*VLOOKUP('Données projet'!$B$12,Paramètres!$A$1:$I$89,5,0)</f>
        <v>-2.5715962692629544E-14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119.62076457560073</v>
      </c>
      <c r="CE184" s="59">
        <f t="shared" si="148"/>
        <v>72.011647893875363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11.239406083077702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11.239406083077702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-2.8421709430404007E-14</v>
      </c>
      <c r="CU184" s="17">
        <f>CT184*VLOOKUP('Données projet'!$B$13,Paramètres!$A$1:$I$89,3,0)*VLOOKUP('Données projet'!$B$13,Paramètres!$A$1:$I$89,5,0)</f>
        <v>-3.0593128030886874E-14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150.9416300233616</v>
      </c>
      <c r="CZ184" s="59">
        <f t="shared" si="150"/>
        <v>92.286636088269972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13.371017581592454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13.371017581592454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439.99999999999943</v>
      </c>
      <c r="DP184" s="17">
        <f>DO184*VLOOKUP('Données projet'!$B$14,Paramètres!$A$1:$I$89,3,0)*VLOOKUP('Données projet'!$B$14,Paramètres!$A$1:$I$89,5,0)</f>
        <v>263.11999999999966</v>
      </c>
      <c r="DQ184" s="13">
        <f t="shared" si="176"/>
        <v>63.386973458751953</v>
      </c>
      <c r="DR184" s="20">
        <f t="shared" si="177"/>
        <v>568.66631210732578</v>
      </c>
      <c r="DS184" s="59">
        <f t="shared" si="125"/>
        <v>861.99964544065915</v>
      </c>
      <c r="DT184" s="59">
        <f ca="1">AVERAGE(OFFSET($DS$3,0,0,'Données projet'!$E$14+1,1))-AVERAGE(OFFSET($H$3,0,0,'Données projet'!$E$14+1,1))</f>
        <v>249.22792522076639</v>
      </c>
      <c r="DU184" s="59">
        <f t="shared" si="152"/>
        <v>244.53725944480669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5.3036009421058852</v>
      </c>
      <c r="EB184" s="21">
        <f>EXP(-LN(2)/25)*EB183+(1-EXP(-LN(2)/25))/(LN(2)/25)*Calculateur!DW184*Calculateur!DY184*VLOOKUP('Données projet'!$B$14,Paramètres!$A$1:$I$89,3,0)*0.475*44/12</f>
        <v>0.77642239783235001</v>
      </c>
      <c r="EC184" s="21">
        <f>EXP(-LN(2)/2)*EC183+(1-EXP(-LN(2)/2))/(LN(2)/2)*DW184*DZ184*VLOOKUP('Données projet'!$B$14,Paramètres!$A$1:$I$89,3,0)*0.475*44/12</f>
        <v>3.6387845530665398E-17</v>
      </c>
      <c r="ED184" s="22">
        <f t="shared" si="178"/>
        <v>6.0800233399382355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2.2737367544323206E-13</v>
      </c>
      <c r="EK184" s="17">
        <f>EJ184*VLOOKUP('Données projet'!$B$15,Paramètres!$A$1:$I$89,3,0)*VLOOKUP('Données projet'!$B$15,Paramètres!$A$1:$I$89,5,0)</f>
        <v>1.2710188457276673E-13</v>
      </c>
      <c r="EL184" s="13">
        <f t="shared" si="179"/>
        <v>1.856866851063998E-12</v>
      </c>
      <c r="EM184" s="20">
        <f t="shared" si="180"/>
        <v>3.4554122145673649E-12</v>
      </c>
      <c r="EN184" s="59">
        <f t="shared" si="128"/>
        <v>293.33333333333678</v>
      </c>
      <c r="EO184" s="59">
        <f ca="1">AVERAGE(OFFSET($EN$3,0,0,'Données projet'!$E$15+1,1))-AVERAGE(OFFSET($H$3,0,0,'Données projet'!$E$15+1,1))</f>
        <v>313.36787814924116</v>
      </c>
      <c r="EP184" s="59">
        <f t="shared" si="154"/>
        <v>438.72984487610216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22.090375090954005</v>
      </c>
      <c r="EW184" s="21">
        <f>EXP(-LN(2)/25)*EW183+(1-EXP(-LN(2)/25))/(LN(2)/25)*Calculateur!ER184*Calculateur!ET184*VLOOKUP('Données projet'!$B$15,Paramètres!$A$1:$I$89,3,0)*0.475*44/12</f>
        <v>1.6528292147331418</v>
      </c>
      <c r="EX184" s="21">
        <f>EXP(-LN(2)/2)*EX183+(1-EXP(-LN(2)/2))/(LN(2)/2)*ER184*EU184*VLOOKUP('Données projet'!$B$15,Paramètres!$A$1:$I$89,3,0)*0.475*44/12</f>
        <v>7.2694489278031343E-19</v>
      </c>
      <c r="EY184" s="22">
        <f t="shared" si="181"/>
        <v>23.743204305687147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-5.6843418860808015E-14</v>
      </c>
      <c r="O185" s="13">
        <f>N185*VLOOKUP('Données projet'!$B$9,Paramètres!$A$1:$I$89,3,0)*VLOOKUP('Données projet'!$B$9,Paramètres!$A$1:$I$89,5,0)</f>
        <v>-5.1431925385259088E-14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173.91998182168385</v>
      </c>
      <c r="T185" s="59">
        <f t="shared" si="142"/>
        <v>72.011647893875363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26.966914830609436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26.966914830609436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-2.8421709430404007E-14</v>
      </c>
      <c r="AJ185" s="13">
        <f>AI185*VLOOKUP('Données projet'!$B$10,Paramètres!$A$1:$I$89,3,0)*VLOOKUP('Données projet'!$B$10,Paramètres!$A$1:$I$89,5,0)</f>
        <v>-3.0593128030886874E-14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150.9416300233616</v>
      </c>
      <c r="AO185" s="59">
        <f t="shared" si="144"/>
        <v>92.286636088269972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13.10882008233286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13.10882008233286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-2.8421709430404007E-14</v>
      </c>
      <c r="BE185" s="13">
        <f>BD185*VLOOKUP('Données projet'!$B$11,Paramètres!$A$1:$I$89,3,0)*VLOOKUP('Données projet'!$B$11,Paramètres!$A$1:$I$89,5,0)</f>
        <v>-2.7489477361086758E-14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131.02416800340484</v>
      </c>
      <c r="BJ185" s="59">
        <f t="shared" si="146"/>
        <v>79.394119001888555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11.778939784125178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11.778939784125178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-2.8421709430404007E-14</v>
      </c>
      <c r="BZ185" s="13">
        <f>BY185*VLOOKUP('Données projet'!$B$12,Paramètres!$A$1:$I$89,3,0)*VLOOKUP('Données projet'!$B$12,Paramètres!$A$1:$I$89,5,0)</f>
        <v>-2.5715962692629544E-14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119.62076457560073</v>
      </c>
      <c r="CE185" s="59">
        <f t="shared" si="148"/>
        <v>72.011647893875363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11.019008185149348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11.019008185149348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-2.8421709430404007E-14</v>
      </c>
      <c r="CU185" s="17">
        <f>CT185*VLOOKUP('Données projet'!$B$13,Paramètres!$A$1:$I$89,3,0)*VLOOKUP('Données projet'!$B$13,Paramètres!$A$1:$I$89,5,0)</f>
        <v>-3.0593128030886874E-14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150.9416300233616</v>
      </c>
      <c r="CZ185" s="59">
        <f t="shared" si="150"/>
        <v>92.286636088269972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13.10882008233286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13.10882008233286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439.99999999999943</v>
      </c>
      <c r="DP185" s="17">
        <f>DO185*VLOOKUP('Données projet'!$B$14,Paramètres!$A$1:$I$89,3,0)*VLOOKUP('Données projet'!$B$14,Paramètres!$A$1:$I$89,5,0)</f>
        <v>263.11999999999966</v>
      </c>
      <c r="DQ185" s="13">
        <f t="shared" si="176"/>
        <v>63.386973458751953</v>
      </c>
      <c r="DR185" s="20">
        <f t="shared" si="177"/>
        <v>568.66631210732578</v>
      </c>
      <c r="DS185" s="59">
        <f t="shared" si="125"/>
        <v>861.99964544065915</v>
      </c>
      <c r="DT185" s="59">
        <f ca="1">AVERAGE(OFFSET($DS$3,0,0,'Données projet'!$E$14+1,1))-AVERAGE(OFFSET($H$3,0,0,'Données projet'!$E$14+1,1))</f>
        <v>249.22792522076639</v>
      </c>
      <c r="DU185" s="59">
        <f t="shared" si="152"/>
        <v>244.53725944480669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5.1996005625083459</v>
      </c>
      <c r="EB185" s="21">
        <f>EXP(-LN(2)/25)*EB184+(1-EXP(-LN(2)/25))/(LN(2)/25)*Calculateur!DW185*Calculateur!DY185*VLOOKUP('Données projet'!$B$14,Paramètres!$A$1:$I$89,3,0)*0.475*44/12</f>
        <v>0.75519108653334499</v>
      </c>
      <c r="EC185" s="21">
        <f>EXP(-LN(2)/2)*EC184+(1-EXP(-LN(2)/2))/(LN(2)/2)*DW185*DZ185*VLOOKUP('Données projet'!$B$14,Paramètres!$A$1:$I$89,3,0)*0.475*44/12</f>
        <v>2.5730092327502109E-17</v>
      </c>
      <c r="ED185" s="22">
        <f t="shared" si="178"/>
        <v>5.9547916490416908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2.2737367544323206E-13</v>
      </c>
      <c r="EK185" s="17">
        <f>EJ185*VLOOKUP('Données projet'!$B$15,Paramètres!$A$1:$I$89,3,0)*VLOOKUP('Données projet'!$B$15,Paramètres!$A$1:$I$89,5,0)</f>
        <v>1.2710188457276673E-13</v>
      </c>
      <c r="EL185" s="13">
        <f t="shared" si="179"/>
        <v>1.856866851063998E-12</v>
      </c>
      <c r="EM185" s="20">
        <f t="shared" si="180"/>
        <v>3.4554122145673649E-12</v>
      </c>
      <c r="EN185" s="59">
        <f t="shared" si="128"/>
        <v>293.33333333333678</v>
      </c>
      <c r="EO185" s="59">
        <f ca="1">AVERAGE(OFFSET($EN$3,0,0,'Données projet'!$E$15+1,1))-AVERAGE(OFFSET($H$3,0,0,'Données projet'!$E$15+1,1))</f>
        <v>313.36787814924116</v>
      </c>
      <c r="EP185" s="59">
        <f t="shared" si="154"/>
        <v>438.72984487610216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21.657196309218776</v>
      </c>
      <c r="EW185" s="21">
        <f>EXP(-LN(2)/25)*EW184+(1-EXP(-LN(2)/25))/(LN(2)/25)*Calculateur!ER185*Calculateur!ET185*VLOOKUP('Données projet'!$B$15,Paramètres!$A$1:$I$89,3,0)*0.475*44/12</f>
        <v>1.6076325129377533</v>
      </c>
      <c r="EX185" s="21">
        <f>EXP(-LN(2)/2)*EX184+(1-EXP(-LN(2)/2))/(LN(2)/2)*ER185*EU185*VLOOKUP('Données projet'!$B$15,Paramètres!$A$1:$I$89,3,0)*0.475*44/12</f>
        <v>5.1402766323388733E-19</v>
      </c>
      <c r="EY185" s="22">
        <f t="shared" si="181"/>
        <v>23.264828822156531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-5.6843418860808015E-14</v>
      </c>
      <c r="O186" s="13">
        <f>N186*VLOOKUP('Données projet'!$B$9,Paramètres!$A$1:$I$89,3,0)*VLOOKUP('Données projet'!$B$9,Paramètres!$A$1:$I$89,5,0)</f>
        <v>-5.1431925385259088E-14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173.91998182168385</v>
      </c>
      <c r="T186" s="59">
        <f t="shared" si="142"/>
        <v>72.011647893875363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26.438110078975107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26.438110078975107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-2.8421709430404007E-14</v>
      </c>
      <c r="AJ186" s="13">
        <f>AI186*VLOOKUP('Données projet'!$B$10,Paramètres!$A$1:$I$89,3,0)*VLOOKUP('Données projet'!$B$10,Paramètres!$A$1:$I$89,5,0)</f>
        <v>-3.0593128030886874E-14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150.9416300233616</v>
      </c>
      <c r="AO186" s="59">
        <f t="shared" si="144"/>
        <v>92.286636088269972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12.851764116109065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12.851764116109065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-2.8421709430404007E-14</v>
      </c>
      <c r="BE186" s="13">
        <f>BD186*VLOOKUP('Données projet'!$B$11,Paramètres!$A$1:$I$89,3,0)*VLOOKUP('Données projet'!$B$11,Paramètres!$A$1:$I$89,5,0)</f>
        <v>-2.7489477361086758E-14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131.02416800340484</v>
      </c>
      <c r="BJ186" s="59">
        <f t="shared" si="146"/>
        <v>79.394119001888555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11.547961959402347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11.547961959402347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-2.8421709430404007E-14</v>
      </c>
      <c r="BZ186" s="13">
        <f>BY186*VLOOKUP('Données projet'!$B$12,Paramètres!$A$1:$I$89,3,0)*VLOOKUP('Données projet'!$B$12,Paramètres!$A$1:$I$89,5,0)</f>
        <v>-2.5715962692629544E-14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119.62076457560073</v>
      </c>
      <c r="CE186" s="59">
        <f t="shared" si="148"/>
        <v>72.011647893875363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10.802932155569925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10.802932155569925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-2.8421709430404007E-14</v>
      </c>
      <c r="CU186" s="17">
        <f>CT186*VLOOKUP('Données projet'!$B$13,Paramètres!$A$1:$I$89,3,0)*VLOOKUP('Données projet'!$B$13,Paramètres!$A$1:$I$89,5,0)</f>
        <v>-3.0593128030886874E-14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150.9416300233616</v>
      </c>
      <c r="CZ186" s="59">
        <f t="shared" si="150"/>
        <v>92.286636088269972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12.851764116109065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12.851764116109065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439.99999999999943</v>
      </c>
      <c r="DP186" s="17">
        <f>DO186*VLOOKUP('Données projet'!$B$14,Paramètres!$A$1:$I$89,3,0)*VLOOKUP('Données projet'!$B$14,Paramètres!$A$1:$I$89,5,0)</f>
        <v>263.11999999999966</v>
      </c>
      <c r="DQ186" s="13">
        <f t="shared" si="176"/>
        <v>63.386973458751953</v>
      </c>
      <c r="DR186" s="20">
        <f t="shared" si="177"/>
        <v>568.66631210732578</v>
      </c>
      <c r="DS186" s="59">
        <f t="shared" si="125"/>
        <v>861.99964544065915</v>
      </c>
      <c r="DT186" s="59">
        <f ca="1">AVERAGE(OFFSET($DS$3,0,0,'Données projet'!$E$14+1,1))-AVERAGE(OFFSET($H$3,0,0,'Données projet'!$E$14+1,1))</f>
        <v>249.22792522076639</v>
      </c>
      <c r="DU186" s="59">
        <f t="shared" si="152"/>
        <v>244.53725944480669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5.0976395669207459</v>
      </c>
      <c r="EB186" s="21">
        <f>EXP(-LN(2)/25)*EB185+(1-EXP(-LN(2)/25))/(LN(2)/25)*Calculateur!DW186*Calculateur!DY186*VLOOKUP('Données projet'!$B$14,Paramètres!$A$1:$I$89,3,0)*0.475*44/12</f>
        <v>0.73454034655831746</v>
      </c>
      <c r="EC186" s="21">
        <f>EXP(-LN(2)/2)*EC185+(1-EXP(-LN(2)/2))/(LN(2)/2)*DW186*DZ186*VLOOKUP('Données projet'!$B$14,Paramètres!$A$1:$I$89,3,0)*0.475*44/12</f>
        <v>1.8193922765332699E-17</v>
      </c>
      <c r="ED186" s="22">
        <f t="shared" si="178"/>
        <v>5.8321799134790631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2.2737367544323206E-13</v>
      </c>
      <c r="EK186" s="17">
        <f>EJ186*VLOOKUP('Données projet'!$B$15,Paramètres!$A$1:$I$89,3,0)*VLOOKUP('Données projet'!$B$15,Paramètres!$A$1:$I$89,5,0)</f>
        <v>1.2710188457276673E-13</v>
      </c>
      <c r="EL186" s="13">
        <f t="shared" si="179"/>
        <v>1.856866851063998E-12</v>
      </c>
      <c r="EM186" s="20">
        <f t="shared" si="180"/>
        <v>3.4554122145673649E-12</v>
      </c>
      <c r="EN186" s="59">
        <f t="shared" si="128"/>
        <v>293.33333333333678</v>
      </c>
      <c r="EO186" s="59">
        <f ca="1">AVERAGE(OFFSET($EN$3,0,0,'Données projet'!$E$15+1,1))-AVERAGE(OFFSET($H$3,0,0,'Données projet'!$E$15+1,1))</f>
        <v>313.36787814924116</v>
      </c>
      <c r="EP186" s="59">
        <f t="shared" si="154"/>
        <v>438.72984487610216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21.232511899180405</v>
      </c>
      <c r="EW186" s="21">
        <f>EXP(-LN(2)/25)*EW185+(1-EXP(-LN(2)/25))/(LN(2)/25)*Calculateur!ER186*Calculateur!ET186*VLOOKUP('Données projet'!$B$15,Paramètres!$A$1:$I$89,3,0)*0.475*44/12</f>
        <v>1.563671717329751</v>
      </c>
      <c r="EX186" s="21">
        <f>EXP(-LN(2)/2)*EX185+(1-EXP(-LN(2)/2))/(LN(2)/2)*ER186*EU186*VLOOKUP('Données projet'!$B$15,Paramètres!$A$1:$I$89,3,0)*0.475*44/12</f>
        <v>3.6347244639015671E-19</v>
      </c>
      <c r="EY186" s="22">
        <f t="shared" si="181"/>
        <v>22.796183616510156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-5.6843418860808015E-14</v>
      </c>
      <c r="O187" s="13">
        <f>N187*VLOOKUP('Données projet'!$B$9,Paramètres!$A$1:$I$89,3,0)*VLOOKUP('Données projet'!$B$9,Paramètres!$A$1:$I$89,5,0)</f>
        <v>-5.1431925385259088E-14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173.91998182168385</v>
      </c>
      <c r="T187" s="59">
        <f t="shared" si="142"/>
        <v>72.011647893875363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25.919674865981278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25.919674865981278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-2.8421709430404007E-14</v>
      </c>
      <c r="AJ187" s="13">
        <f>AI187*VLOOKUP('Données projet'!$B$10,Paramètres!$A$1:$I$89,3,0)*VLOOKUP('Données projet'!$B$10,Paramètres!$A$1:$I$89,5,0)</f>
        <v>-3.0593128030886874E-14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150.9416300233616</v>
      </c>
      <c r="AO187" s="59">
        <f t="shared" si="144"/>
        <v>92.286636088269972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12.599748860594259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12.599748860594259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-2.8421709430404007E-14</v>
      </c>
      <c r="BE187" s="13">
        <f>BD187*VLOOKUP('Données projet'!$B$11,Paramètres!$A$1:$I$89,3,0)*VLOOKUP('Données projet'!$B$11,Paramètres!$A$1:$I$89,5,0)</f>
        <v>-2.7489477361086758E-14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131.02416800340484</v>
      </c>
      <c r="BJ187" s="59">
        <f t="shared" si="146"/>
        <v>79.394119001888555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11.321513468939768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11.321513468939768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-2.8421709430404007E-14</v>
      </c>
      <c r="BZ187" s="13">
        <f>BY187*VLOOKUP('Données projet'!$B$12,Paramètres!$A$1:$I$89,3,0)*VLOOKUP('Données projet'!$B$12,Paramètres!$A$1:$I$89,5,0)</f>
        <v>-2.5715962692629544E-14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119.62076457560073</v>
      </c>
      <c r="CE187" s="59">
        <f t="shared" si="148"/>
        <v>72.011647893875363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10.591093245137191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10.591093245137191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-2.8421709430404007E-14</v>
      </c>
      <c r="CU187" s="17">
        <f>CT187*VLOOKUP('Données projet'!$B$13,Paramètres!$A$1:$I$89,3,0)*VLOOKUP('Données projet'!$B$13,Paramètres!$A$1:$I$89,5,0)</f>
        <v>-3.0593128030886874E-14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150.9416300233616</v>
      </c>
      <c r="CZ187" s="59">
        <f t="shared" si="150"/>
        <v>92.286636088269972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12.599748860594259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12.599748860594259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439.99999999999943</v>
      </c>
      <c r="DP187" s="17">
        <f>DO187*VLOOKUP('Données projet'!$B$14,Paramètres!$A$1:$I$89,3,0)*VLOOKUP('Données projet'!$B$14,Paramètres!$A$1:$I$89,5,0)</f>
        <v>263.11999999999966</v>
      </c>
      <c r="DQ187" s="13">
        <f t="shared" si="176"/>
        <v>63.386973458751953</v>
      </c>
      <c r="DR187" s="20">
        <f t="shared" si="177"/>
        <v>568.66631210732578</v>
      </c>
      <c r="DS187" s="59">
        <f t="shared" si="125"/>
        <v>861.99964544065915</v>
      </c>
      <c r="DT187" s="59">
        <f ca="1">AVERAGE(OFFSET($DS$3,0,0,'Données projet'!$E$14+1,1))-AVERAGE(OFFSET($H$3,0,0,'Données projet'!$E$14+1,1))</f>
        <v>249.22792522076639</v>
      </c>
      <c r="DU187" s="59">
        <f t="shared" si="152"/>
        <v>244.53725944480669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4.9976779642665523</v>
      </c>
      <c r="EB187" s="21">
        <f>EXP(-LN(2)/25)*EB186+(1-EXP(-LN(2)/25))/(LN(2)/25)*Calculateur!DW187*Calculateur!DY187*VLOOKUP('Données projet'!$B$14,Paramètres!$A$1:$I$89,3,0)*0.475*44/12</f>
        <v>0.71445430215388228</v>
      </c>
      <c r="EC187" s="21">
        <f>EXP(-LN(2)/2)*EC186+(1-EXP(-LN(2)/2))/(LN(2)/2)*DW187*DZ187*VLOOKUP('Données projet'!$B$14,Paramètres!$A$1:$I$89,3,0)*0.475*44/12</f>
        <v>1.2865046163751055E-17</v>
      </c>
      <c r="ED187" s="22">
        <f t="shared" si="178"/>
        <v>5.7121322664204346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2.2737367544323206E-13</v>
      </c>
      <c r="EK187" s="17">
        <f>EJ187*VLOOKUP('Données projet'!$B$15,Paramètres!$A$1:$I$89,3,0)*VLOOKUP('Données projet'!$B$15,Paramètres!$A$1:$I$89,5,0)</f>
        <v>1.2710188457276673E-13</v>
      </c>
      <c r="EL187" s="13">
        <f t="shared" si="179"/>
        <v>1.856866851063998E-12</v>
      </c>
      <c r="EM187" s="20">
        <f t="shared" si="180"/>
        <v>3.4554122145673649E-12</v>
      </c>
      <c r="EN187" s="59">
        <f t="shared" si="128"/>
        <v>293.33333333333678</v>
      </c>
      <c r="EO187" s="59">
        <f ca="1">AVERAGE(OFFSET($EN$3,0,0,'Données projet'!$E$15+1,1))-AVERAGE(OFFSET($H$3,0,0,'Données projet'!$E$15+1,1))</f>
        <v>313.36787814924116</v>
      </c>
      <c r="EP187" s="59">
        <f t="shared" si="154"/>
        <v>438.72984487610216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20.816155291390974</v>
      </c>
      <c r="EW187" s="21">
        <f>EXP(-LN(2)/25)*EW186+(1-EXP(-LN(2)/25))/(LN(2)/25)*Calculateur!ER187*Calculateur!ET187*VLOOKUP('Données projet'!$B$15,Paramètres!$A$1:$I$89,3,0)*0.475*44/12</f>
        <v>1.5209130319894471</v>
      </c>
      <c r="EX187" s="21">
        <f>EXP(-LN(2)/2)*EX186+(1-EXP(-LN(2)/2))/(LN(2)/2)*ER187*EU187*VLOOKUP('Données projet'!$B$15,Paramètres!$A$1:$I$89,3,0)*0.475*44/12</f>
        <v>2.5701383161694367E-19</v>
      </c>
      <c r="EY187" s="22">
        <f t="shared" si="181"/>
        <v>22.337068323380421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-5.6843418860808015E-14</v>
      </c>
      <c r="O188" s="13">
        <f>N188*VLOOKUP('Données projet'!$B$9,Paramètres!$A$1:$I$89,3,0)*VLOOKUP('Données projet'!$B$9,Paramètres!$A$1:$I$89,5,0)</f>
        <v>-5.1431925385259088E-14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173.91998182168385</v>
      </c>
      <c r="T188" s="59">
        <f t="shared" si="142"/>
        <v>72.011647893875363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25.4114058513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25.4114058513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-2.8421709430404007E-14</v>
      </c>
      <c r="AJ188" s="13">
        <f>AI188*VLOOKUP('Données projet'!$B$10,Paramètres!$A$1:$I$89,3,0)*VLOOKUP('Données projet'!$B$10,Paramètres!$A$1:$I$89,5,0)</f>
        <v>-3.0593128030886874E-14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150.9416300233616</v>
      </c>
      <c r="AO188" s="59">
        <f t="shared" si="144"/>
        <v>92.286636088269972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12.352675470525972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12.352675470525972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-2.8421709430404007E-14</v>
      </c>
      <c r="BE188" s="13">
        <f>BD188*VLOOKUP('Données projet'!$B$11,Paramètres!$A$1:$I$89,3,0)*VLOOKUP('Données projet'!$B$11,Paramètres!$A$1:$I$89,5,0)</f>
        <v>-2.7489477361086758E-14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131.02416800340484</v>
      </c>
      <c r="BJ188" s="59">
        <f t="shared" si="146"/>
        <v>79.394119001888555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11.099505495255221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11.099505495255221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-2.8421709430404007E-14</v>
      </c>
      <c r="BZ188" s="13">
        <f>BY188*VLOOKUP('Données projet'!$B$12,Paramètres!$A$1:$I$89,3,0)*VLOOKUP('Données projet'!$B$12,Paramètres!$A$1:$I$89,5,0)</f>
        <v>-2.5715962692629544E-14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119.62076457560073</v>
      </c>
      <c r="CE188" s="59">
        <f t="shared" si="148"/>
        <v>72.011647893875363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10.383408366529066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10.383408366529066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-2.8421709430404007E-14</v>
      </c>
      <c r="CU188" s="17">
        <f>CT188*VLOOKUP('Données projet'!$B$13,Paramètres!$A$1:$I$89,3,0)*VLOOKUP('Données projet'!$B$13,Paramètres!$A$1:$I$89,5,0)</f>
        <v>-3.0593128030886874E-14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150.9416300233616</v>
      </c>
      <c r="CZ188" s="59">
        <f t="shared" si="150"/>
        <v>92.286636088269972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12.352675470525972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12.352675470525972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439.99999999999943</v>
      </c>
      <c r="DP188" s="17">
        <f>DO188*VLOOKUP('Données projet'!$B$14,Paramètres!$A$1:$I$89,3,0)*VLOOKUP('Données projet'!$B$14,Paramètres!$A$1:$I$89,5,0)</f>
        <v>263.11999999999966</v>
      </c>
      <c r="DQ188" s="13">
        <f t="shared" si="176"/>
        <v>63.386973458751953</v>
      </c>
      <c r="DR188" s="20">
        <f t="shared" si="177"/>
        <v>568.66631210732578</v>
      </c>
      <c r="DS188" s="59">
        <f t="shared" si="125"/>
        <v>861.99964544065915</v>
      </c>
      <c r="DT188" s="59">
        <f ca="1">AVERAGE(OFFSET($DS$3,0,0,'Données projet'!$E$14+1,1))-AVERAGE(OFFSET($H$3,0,0,'Données projet'!$E$14+1,1))</f>
        <v>249.22792522076639</v>
      </c>
      <c r="DU188" s="59">
        <f t="shared" si="152"/>
        <v>244.53725944480669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4.8996765476698503</v>
      </c>
      <c r="EB188" s="21">
        <f>EXP(-LN(2)/25)*EB187+(1-EXP(-LN(2)/25))/(LN(2)/25)*Calculateur!DW188*Calculateur!DY188*VLOOKUP('Données projet'!$B$14,Paramètres!$A$1:$I$89,3,0)*0.475*44/12</f>
        <v>0.69491751168996552</v>
      </c>
      <c r="EC188" s="21">
        <f>EXP(-LN(2)/2)*EC187+(1-EXP(-LN(2)/2))/(LN(2)/2)*DW188*DZ188*VLOOKUP('Données projet'!$B$14,Paramètres!$A$1:$I$89,3,0)*0.475*44/12</f>
        <v>9.0969613826663494E-18</v>
      </c>
      <c r="ED188" s="22">
        <f t="shared" si="178"/>
        <v>5.5945940593598156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2.2737367544323206E-13</v>
      </c>
      <c r="EK188" s="17">
        <f>EJ188*VLOOKUP('Données projet'!$B$15,Paramètres!$A$1:$I$89,3,0)*VLOOKUP('Données projet'!$B$15,Paramètres!$A$1:$I$89,5,0)</f>
        <v>1.2710188457276673E-13</v>
      </c>
      <c r="EL188" s="13">
        <f t="shared" si="179"/>
        <v>1.856866851063998E-12</v>
      </c>
      <c r="EM188" s="20">
        <f t="shared" si="180"/>
        <v>3.4554122145673649E-12</v>
      </c>
      <c r="EN188" s="59">
        <f t="shared" si="128"/>
        <v>293.33333333333678</v>
      </c>
      <c r="EO188" s="59">
        <f ca="1">AVERAGE(OFFSET($EN$3,0,0,'Données projet'!$E$15+1,1))-AVERAGE(OFFSET($H$3,0,0,'Données projet'!$E$15+1,1))</f>
        <v>313.36787814924116</v>
      </c>
      <c r="EP188" s="59">
        <f t="shared" si="154"/>
        <v>438.72984487610216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20.40796318272784</v>
      </c>
      <c r="EW188" s="21">
        <f>EXP(-LN(2)/25)*EW187+(1-EXP(-LN(2)/25))/(LN(2)/25)*Calculateur!ER188*Calculateur!ET188*VLOOKUP('Données projet'!$B$15,Paramètres!$A$1:$I$89,3,0)*0.475*44/12</f>
        <v>1.4793235851483553</v>
      </c>
      <c r="EX188" s="21">
        <f>EXP(-LN(2)/2)*EX187+(1-EXP(-LN(2)/2))/(LN(2)/2)*ER188*EU188*VLOOKUP('Données projet'!$B$15,Paramètres!$A$1:$I$89,3,0)*0.475*44/12</f>
        <v>1.8173622319507836E-19</v>
      </c>
      <c r="EY188" s="22">
        <f t="shared" si="181"/>
        <v>21.887286767876194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-5.6843418860808015E-14</v>
      </c>
      <c r="O189" s="13">
        <f>N189*VLOOKUP('Données projet'!$B$9,Paramètres!$A$1:$I$89,3,0)*VLOOKUP('Données projet'!$B$9,Paramètres!$A$1:$I$89,5,0)</f>
        <v>-5.1431925385259088E-14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173.91998182168385</v>
      </c>
      <c r="T189" s="59">
        <f t="shared" si="142"/>
        <v>72.011647893875363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24.913103681983134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24.913103681983134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-2.8421709430404007E-14</v>
      </c>
      <c r="AJ189" s="13">
        <f>AI189*VLOOKUP('Données projet'!$B$10,Paramètres!$A$1:$I$89,3,0)*VLOOKUP('Données projet'!$B$10,Paramètres!$A$1:$I$89,5,0)</f>
        <v>-3.0593128030886874E-14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150.9416300233616</v>
      </c>
      <c r="AO189" s="59">
        <f t="shared" si="144"/>
        <v>92.286636088269972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12.110447038937036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12.110447038937036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-2.8421709430404007E-14</v>
      </c>
      <c r="BE189" s="13">
        <f>BD189*VLOOKUP('Données projet'!$B$11,Paramètres!$A$1:$I$89,3,0)*VLOOKUP('Données projet'!$B$11,Paramètres!$A$1:$I$89,5,0)</f>
        <v>-2.7489477361086758E-14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131.02416800340484</v>
      </c>
      <c r="BJ189" s="59">
        <f t="shared" si="146"/>
        <v>79.394119001888555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10.881850962523133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10.881850962523133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-2.8421709430404007E-14</v>
      </c>
      <c r="BZ189" s="13">
        <f>BY189*VLOOKUP('Données projet'!$B$12,Paramètres!$A$1:$I$89,3,0)*VLOOKUP('Données projet'!$B$12,Paramètres!$A$1:$I$89,5,0)</f>
        <v>-2.5715962692629544E-14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119.62076457560073</v>
      </c>
      <c r="CE189" s="59">
        <f t="shared" si="148"/>
        <v>72.011647893875363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10.179796061715178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10.179796061715178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-2.8421709430404007E-14</v>
      </c>
      <c r="CU189" s="17">
        <f>CT189*VLOOKUP('Données projet'!$B$13,Paramètres!$A$1:$I$89,3,0)*VLOOKUP('Données projet'!$B$13,Paramètres!$A$1:$I$89,5,0)</f>
        <v>-3.0593128030886874E-14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150.9416300233616</v>
      </c>
      <c r="CZ189" s="59">
        <f t="shared" si="150"/>
        <v>92.286636088269972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12.110447038937036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12.110447038937036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439.99999999999943</v>
      </c>
      <c r="DP189" s="17">
        <f>DO189*VLOOKUP('Données projet'!$B$14,Paramètres!$A$1:$I$89,3,0)*VLOOKUP('Données projet'!$B$14,Paramètres!$A$1:$I$89,5,0)</f>
        <v>263.11999999999966</v>
      </c>
      <c r="DQ189" s="13">
        <f t="shared" si="176"/>
        <v>63.386973458751953</v>
      </c>
      <c r="DR189" s="20">
        <f t="shared" si="177"/>
        <v>568.66631210732578</v>
      </c>
      <c r="DS189" s="59">
        <f t="shared" si="125"/>
        <v>861.99964544065915</v>
      </c>
      <c r="DT189" s="59">
        <f ca="1">AVERAGE(OFFSET($DS$3,0,0,'Données projet'!$E$14+1,1))-AVERAGE(OFFSET($H$3,0,0,'Données projet'!$E$14+1,1))</f>
        <v>249.22792522076639</v>
      </c>
      <c r="DU189" s="59">
        <f t="shared" si="152"/>
        <v>244.53725944480669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4.8035968790776478</v>
      </c>
      <c r="EB189" s="21">
        <f>EXP(-LN(2)/25)*EB188+(1-EXP(-LN(2)/25))/(LN(2)/25)*Calculateur!DW189*Calculateur!DY189*VLOOKUP('Données projet'!$B$14,Paramètres!$A$1:$I$89,3,0)*0.475*44/12</f>
        <v>0.67591495578867977</v>
      </c>
      <c r="EC189" s="21">
        <f>EXP(-LN(2)/2)*EC188+(1-EXP(-LN(2)/2))/(LN(2)/2)*DW189*DZ189*VLOOKUP('Données projet'!$B$14,Paramètres!$A$1:$I$89,3,0)*0.475*44/12</f>
        <v>6.4325230818755273E-18</v>
      </c>
      <c r="ED189" s="22">
        <f t="shared" si="178"/>
        <v>5.4795118348663276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2.2737367544323206E-13</v>
      </c>
      <c r="EK189" s="17">
        <f>EJ189*VLOOKUP('Données projet'!$B$15,Paramètres!$A$1:$I$89,3,0)*VLOOKUP('Données projet'!$B$15,Paramètres!$A$1:$I$89,5,0)</f>
        <v>1.2710188457276673E-13</v>
      </c>
      <c r="EL189" s="13">
        <f t="shared" si="179"/>
        <v>1.856866851063998E-12</v>
      </c>
      <c r="EM189" s="20">
        <f t="shared" si="180"/>
        <v>3.4554122145673649E-12</v>
      </c>
      <c r="EN189" s="59">
        <f t="shared" si="128"/>
        <v>293.33333333333678</v>
      </c>
      <c r="EO189" s="59">
        <f ca="1">AVERAGE(OFFSET($EN$3,0,0,'Données projet'!$E$15+1,1))-AVERAGE(OFFSET($H$3,0,0,'Données projet'!$E$15+1,1))</f>
        <v>313.36787814924116</v>
      </c>
      <c r="EP189" s="59">
        <f t="shared" si="154"/>
        <v>438.72984487610216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20.007775472342988</v>
      </c>
      <c r="EW189" s="21">
        <f>EXP(-LN(2)/25)*EW188+(1-EXP(-LN(2)/25))/(LN(2)/25)*Calculateur!ER189*Calculateur!ET189*VLOOKUP('Données projet'!$B$15,Paramètres!$A$1:$I$89,3,0)*0.475*44/12</f>
        <v>1.4388714039182271</v>
      </c>
      <c r="EX189" s="21">
        <f>EXP(-LN(2)/2)*EX188+(1-EXP(-LN(2)/2))/(LN(2)/2)*ER189*EU189*VLOOKUP('Données projet'!$B$15,Paramètres!$A$1:$I$89,3,0)*0.475*44/12</f>
        <v>1.2850691580847183E-19</v>
      </c>
      <c r="EY189" s="22">
        <f t="shared" si="181"/>
        <v>21.446646876261216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-5.6843418860808015E-14</v>
      </c>
      <c r="O190" s="13">
        <f>N190*VLOOKUP('Données projet'!$B$9,Paramètres!$A$1:$I$89,3,0)*VLOOKUP('Données projet'!$B$9,Paramètres!$A$1:$I$89,5,0)</f>
        <v>-5.1431925385259088E-14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173.91998182168385</v>
      </c>
      <c r="T190" s="59">
        <f t="shared" si="142"/>
        <v>72.011647893875363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24.424572914272261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24.424572914272261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-2.8421709430404007E-14</v>
      </c>
      <c r="AJ190" s="13">
        <f>AI190*VLOOKUP('Données projet'!$B$10,Paramètres!$A$1:$I$89,3,0)*VLOOKUP('Données projet'!$B$10,Paramètres!$A$1:$I$89,5,0)</f>
        <v>-3.0593128030886874E-14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150.9416300233616</v>
      </c>
      <c r="AO190" s="59">
        <f t="shared" si="144"/>
        <v>92.286636088269972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11.872968559146804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11.872968559146804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-2.8421709430404007E-14</v>
      </c>
      <c r="BE190" s="13">
        <f>BD190*VLOOKUP('Données projet'!$B$11,Paramètres!$A$1:$I$89,3,0)*VLOOKUP('Données projet'!$B$11,Paramètres!$A$1:$I$89,5,0)</f>
        <v>-2.7489477361086758E-14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131.02416800340484</v>
      </c>
      <c r="BJ190" s="59">
        <f t="shared" si="146"/>
        <v>79.394119001888555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10.668464502421765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10.668464502421765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-2.8421709430404007E-14</v>
      </c>
      <c r="BZ190" s="13">
        <f>BY190*VLOOKUP('Données projet'!$B$12,Paramètres!$A$1:$I$89,3,0)*VLOOKUP('Données projet'!$B$12,Paramètres!$A$1:$I$89,5,0)</f>
        <v>-2.5715962692629544E-14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119.62076457560073</v>
      </c>
      <c r="CE190" s="59">
        <f t="shared" si="148"/>
        <v>72.011647893875363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9.9801764700074482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9.9801764700074482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-2.8421709430404007E-14</v>
      </c>
      <c r="CU190" s="17">
        <f>CT190*VLOOKUP('Données projet'!$B$13,Paramètres!$A$1:$I$89,3,0)*VLOOKUP('Données projet'!$B$13,Paramètres!$A$1:$I$89,5,0)</f>
        <v>-3.0593128030886874E-14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150.9416300233616</v>
      </c>
      <c r="CZ190" s="59">
        <f t="shared" si="150"/>
        <v>92.286636088269972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11.872968559146804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11.872968559146804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439.99999999999943</v>
      </c>
      <c r="DP190" s="17">
        <f>DO190*VLOOKUP('Données projet'!$B$14,Paramètres!$A$1:$I$89,3,0)*VLOOKUP('Données projet'!$B$14,Paramètres!$A$1:$I$89,5,0)</f>
        <v>263.11999999999966</v>
      </c>
      <c r="DQ190" s="13">
        <f t="shared" si="176"/>
        <v>63.386973458751953</v>
      </c>
      <c r="DR190" s="20">
        <f t="shared" si="177"/>
        <v>568.66631210732578</v>
      </c>
      <c r="DS190" s="59">
        <f t="shared" si="125"/>
        <v>861.99964544065915</v>
      </c>
      <c r="DT190" s="59">
        <f ca="1">AVERAGE(OFFSET($DS$3,0,0,'Données projet'!$E$14+1,1))-AVERAGE(OFFSET($H$3,0,0,'Données projet'!$E$14+1,1))</f>
        <v>249.22792522076639</v>
      </c>
      <c r="DU190" s="59">
        <f t="shared" si="152"/>
        <v>244.53725944480669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4.709401274183727</v>
      </c>
      <c r="EB190" s="21">
        <f>EXP(-LN(2)/25)*EB189+(1-EXP(-LN(2)/25))/(LN(2)/25)*Calculateur!DW190*Calculateur!DY190*VLOOKUP('Données projet'!$B$14,Paramètres!$A$1:$I$89,3,0)*0.475*44/12</f>
        <v>0.65743202577781568</v>
      </c>
      <c r="EC190" s="21">
        <f>EXP(-LN(2)/2)*EC189+(1-EXP(-LN(2)/2))/(LN(2)/2)*DW190*DZ190*VLOOKUP('Données projet'!$B$14,Paramètres!$A$1:$I$89,3,0)*0.475*44/12</f>
        <v>4.5484806913331747E-18</v>
      </c>
      <c r="ED190" s="22">
        <f t="shared" si="178"/>
        <v>5.3668332999615425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2.2737367544323206E-13</v>
      </c>
      <c r="EK190" s="17">
        <f>EJ190*VLOOKUP('Données projet'!$B$15,Paramètres!$A$1:$I$89,3,0)*VLOOKUP('Données projet'!$B$15,Paramètres!$A$1:$I$89,5,0)</f>
        <v>1.2710188457276673E-13</v>
      </c>
      <c r="EL190" s="13">
        <f t="shared" si="179"/>
        <v>1.856866851063998E-12</v>
      </c>
      <c r="EM190" s="20">
        <f t="shared" si="180"/>
        <v>3.4554122145673649E-12</v>
      </c>
      <c r="EN190" s="59">
        <f t="shared" si="128"/>
        <v>293.33333333333678</v>
      </c>
      <c r="EO190" s="59">
        <f ca="1">AVERAGE(OFFSET($EN$3,0,0,'Données projet'!$E$15+1,1))-AVERAGE(OFFSET($H$3,0,0,'Données projet'!$E$15+1,1))</f>
        <v>313.36787814924116</v>
      </c>
      <c r="EP190" s="59">
        <f t="shared" si="154"/>
        <v>438.72984487610216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19.615435198868383</v>
      </c>
      <c r="EW190" s="21">
        <f>EXP(-LN(2)/25)*EW189+(1-EXP(-LN(2)/25))/(LN(2)/25)*Calculateur!ER190*Calculateur!ET190*VLOOKUP('Données projet'!$B$15,Paramètres!$A$1:$I$89,3,0)*0.475*44/12</f>
        <v>1.3995253897111246</v>
      </c>
      <c r="EX190" s="21">
        <f>EXP(-LN(2)/2)*EX189+(1-EXP(-LN(2)/2))/(LN(2)/2)*ER190*EU190*VLOOKUP('Données projet'!$B$15,Paramètres!$A$1:$I$89,3,0)*0.475*44/12</f>
        <v>9.0868111597539178E-20</v>
      </c>
      <c r="EY190" s="22">
        <f t="shared" si="181"/>
        <v>21.014960588579509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-5.6843418860808015E-14</v>
      </c>
      <c r="O191" s="13">
        <f>N191*VLOOKUP('Données projet'!$B$9,Paramètres!$A$1:$I$89,3,0)*VLOOKUP('Données projet'!$B$9,Paramètres!$A$1:$I$89,5,0)</f>
        <v>-5.1431925385259088E-14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173.91998182168385</v>
      </c>
      <c r="T191" s="59">
        <f t="shared" si="142"/>
        <v>72.011647893875363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23.945621936941851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23.945621936941851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-2.8421709430404007E-14</v>
      </c>
      <c r="AJ191" s="13">
        <f>AI191*VLOOKUP('Données projet'!$B$10,Paramètres!$A$1:$I$89,3,0)*VLOOKUP('Données projet'!$B$10,Paramètres!$A$1:$I$89,5,0)</f>
        <v>-3.0593128030886874E-14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150.9416300233616</v>
      </c>
      <c r="AO191" s="59">
        <f t="shared" si="144"/>
        <v>92.286636088269972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11.640146887497687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11.640146887497687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-2.8421709430404007E-14</v>
      </c>
      <c r="BE191" s="13">
        <f>BD191*VLOOKUP('Données projet'!$B$11,Paramètres!$A$1:$I$89,3,0)*VLOOKUP('Données projet'!$B$11,Paramètres!$A$1:$I$89,5,0)</f>
        <v>-2.7489477361086758E-14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131.02416800340484</v>
      </c>
      <c r="BJ191" s="59">
        <f t="shared" si="146"/>
        <v>79.394119001888555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10.459262420650095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10.459262420650095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-2.8421709430404007E-14</v>
      </c>
      <c r="BZ191" s="13">
        <f>BY191*VLOOKUP('Données projet'!$B$12,Paramètres!$A$1:$I$89,3,0)*VLOOKUP('Données projet'!$B$12,Paramètres!$A$1:$I$89,5,0)</f>
        <v>-2.5715962692629544E-14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119.62076457560073</v>
      </c>
      <c r="CE191" s="59">
        <f t="shared" si="148"/>
        <v>72.011647893875363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9.784471296737177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9.784471296737177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-2.8421709430404007E-14</v>
      </c>
      <c r="CU191" s="17">
        <f>CT191*VLOOKUP('Données projet'!$B$13,Paramètres!$A$1:$I$89,3,0)*VLOOKUP('Données projet'!$B$13,Paramètres!$A$1:$I$89,5,0)</f>
        <v>-3.0593128030886874E-14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150.9416300233616</v>
      </c>
      <c r="CZ191" s="59">
        <f t="shared" si="150"/>
        <v>92.286636088269972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11.640146887497687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11.640146887497687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439.99999999999943</v>
      </c>
      <c r="DP191" s="17">
        <f>DO191*VLOOKUP('Données projet'!$B$14,Paramètres!$A$1:$I$89,3,0)*VLOOKUP('Données projet'!$B$14,Paramètres!$A$1:$I$89,5,0)</f>
        <v>263.11999999999966</v>
      </c>
      <c r="DQ191" s="13">
        <f t="shared" si="176"/>
        <v>63.386973458751953</v>
      </c>
      <c r="DR191" s="20">
        <f t="shared" si="177"/>
        <v>568.66631210732578</v>
      </c>
      <c r="DS191" s="59">
        <f t="shared" si="125"/>
        <v>861.99964544065915</v>
      </c>
      <c r="DT191" s="59">
        <f ca="1">AVERAGE(OFFSET($DS$3,0,0,'Données projet'!$E$14+1,1))-AVERAGE(OFFSET($H$3,0,0,'Données projet'!$E$14+1,1))</f>
        <v>249.22792522076639</v>
      </c>
      <c r="DU191" s="59">
        <f t="shared" si="152"/>
        <v>244.53725944480669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4.61705278764813</v>
      </c>
      <c r="EB191" s="21">
        <f>EXP(-LN(2)/25)*EB190+(1-EXP(-LN(2)/25))/(LN(2)/25)*Calculateur!DW191*Calculateur!DY191*VLOOKUP('Données projet'!$B$14,Paramètres!$A$1:$I$89,3,0)*0.475*44/12</f>
        <v>0.63945451246007368</v>
      </c>
      <c r="EC191" s="21">
        <f>EXP(-LN(2)/2)*EC190+(1-EXP(-LN(2)/2))/(LN(2)/2)*DW191*DZ191*VLOOKUP('Données projet'!$B$14,Paramètres!$A$1:$I$89,3,0)*0.475*44/12</f>
        <v>3.2162615409377636E-18</v>
      </c>
      <c r="ED191" s="22">
        <f t="shared" si="178"/>
        <v>5.2565073001082041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2.2737367544323206E-13</v>
      </c>
      <c r="EK191" s="17">
        <f>EJ191*VLOOKUP('Données projet'!$B$15,Paramètres!$A$1:$I$89,3,0)*VLOOKUP('Données projet'!$B$15,Paramètres!$A$1:$I$89,5,0)</f>
        <v>1.2710188457276673E-13</v>
      </c>
      <c r="EL191" s="13">
        <f t="shared" si="179"/>
        <v>1.856866851063998E-12</v>
      </c>
      <c r="EM191" s="20">
        <f t="shared" si="180"/>
        <v>3.4554122145673649E-12</v>
      </c>
      <c r="EN191" s="59">
        <f t="shared" si="128"/>
        <v>293.33333333333678</v>
      </c>
      <c r="EO191" s="59">
        <f ca="1">AVERAGE(OFFSET($EN$3,0,0,'Données projet'!$E$15+1,1))-AVERAGE(OFFSET($H$3,0,0,'Données projet'!$E$15+1,1))</f>
        <v>313.36787814924116</v>
      </c>
      <c r="EP191" s="59">
        <f t="shared" si="154"/>
        <v>438.72984487610216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19.230788478852674</v>
      </c>
      <c r="EW191" s="21">
        <f>EXP(-LN(2)/25)*EW190+(1-EXP(-LN(2)/25))/(LN(2)/25)*Calculateur!ER191*Calculateur!ET191*VLOOKUP('Données projet'!$B$15,Paramètres!$A$1:$I$89,3,0)*0.475*44/12</f>
        <v>1.3612552943316323</v>
      </c>
      <c r="EX191" s="21">
        <f>EXP(-LN(2)/2)*EX190+(1-EXP(-LN(2)/2))/(LN(2)/2)*ER191*EU191*VLOOKUP('Données projet'!$B$15,Paramètres!$A$1:$I$89,3,0)*0.475*44/12</f>
        <v>6.4253457904235916E-20</v>
      </c>
      <c r="EY191" s="22">
        <f t="shared" si="181"/>
        <v>20.592043773184304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-5.6843418860808015E-14</v>
      </c>
      <c r="O192" s="13">
        <f>N192*VLOOKUP('Données projet'!$B$9,Paramètres!$A$1:$I$89,3,0)*VLOOKUP('Données projet'!$B$9,Paramètres!$A$1:$I$89,5,0)</f>
        <v>-5.1431925385259088E-14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173.91998182168385</v>
      </c>
      <c r="T192" s="59">
        <f t="shared" si="142"/>
        <v>72.011647893875363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23.476062896145642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23.476062896145642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-2.8421709430404007E-14</v>
      </c>
      <c r="AJ192" s="13">
        <f>AI192*VLOOKUP('Données projet'!$B$10,Paramètres!$A$1:$I$89,3,0)*VLOOKUP('Données projet'!$B$10,Paramètres!$A$1:$I$89,5,0)</f>
        <v>-3.0593128030886874E-14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150.9416300233616</v>
      </c>
      <c r="AO192" s="59">
        <f t="shared" si="144"/>
        <v>92.286636088269972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11.411890706822414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11.411890706822414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-2.8421709430404007E-14</v>
      </c>
      <c r="BE192" s="13">
        <f>BD192*VLOOKUP('Données projet'!$B$11,Paramètres!$A$1:$I$89,3,0)*VLOOKUP('Données projet'!$B$11,Paramètres!$A$1:$I$89,5,0)</f>
        <v>-2.7489477361086758E-14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131.02416800340484</v>
      </c>
      <c r="BJ192" s="59">
        <f t="shared" si="146"/>
        <v>79.394119001888555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10.254162664101298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10.254162664101298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-2.8421709430404007E-14</v>
      </c>
      <c r="BZ192" s="13">
        <f>BY192*VLOOKUP('Données projet'!$B$12,Paramètres!$A$1:$I$89,3,0)*VLOOKUP('Données projet'!$B$12,Paramètres!$A$1:$I$89,5,0)</f>
        <v>-2.5715962692629544E-14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119.62076457560073</v>
      </c>
      <c r="CE192" s="59">
        <f t="shared" si="148"/>
        <v>72.011647893875363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9.5926037825463677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9.5926037825463677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-2.8421709430404007E-14</v>
      </c>
      <c r="CU192" s="17">
        <f>CT192*VLOOKUP('Données projet'!$B$13,Paramètres!$A$1:$I$89,3,0)*VLOOKUP('Données projet'!$B$13,Paramètres!$A$1:$I$89,5,0)</f>
        <v>-3.0593128030886874E-14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150.9416300233616</v>
      </c>
      <c r="CZ192" s="59">
        <f t="shared" si="150"/>
        <v>92.286636088269972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11.411890706822414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11.411890706822414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439.99999999999943</v>
      </c>
      <c r="DP192" s="17">
        <f>DO192*VLOOKUP('Données projet'!$B$14,Paramètres!$A$1:$I$89,3,0)*VLOOKUP('Données projet'!$B$14,Paramètres!$A$1:$I$89,5,0)</f>
        <v>263.11999999999966</v>
      </c>
      <c r="DQ192" s="13">
        <f t="shared" si="176"/>
        <v>63.386973458751953</v>
      </c>
      <c r="DR192" s="20">
        <f t="shared" si="177"/>
        <v>568.66631210732578</v>
      </c>
      <c r="DS192" s="59">
        <f t="shared" si="125"/>
        <v>861.99964544065915</v>
      </c>
      <c r="DT192" s="59">
        <f ca="1">AVERAGE(OFFSET($DS$3,0,0,'Données projet'!$E$14+1,1))-AVERAGE(OFFSET($H$3,0,0,'Données projet'!$E$14+1,1))</f>
        <v>249.22792522076639</v>
      </c>
      <c r="DU192" s="59">
        <f t="shared" si="152"/>
        <v>244.53725944480669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4.5265151986064813</v>
      </c>
      <c r="EB192" s="21">
        <f>EXP(-LN(2)/25)*EB191+(1-EXP(-LN(2)/25))/(LN(2)/25)*Calculateur!DW192*Calculateur!DY192*VLOOKUP('Données projet'!$B$14,Paramètres!$A$1:$I$89,3,0)*0.475*44/12</f>
        <v>0.62196859518940162</v>
      </c>
      <c r="EC192" s="21">
        <f>EXP(-LN(2)/2)*EC191+(1-EXP(-LN(2)/2))/(LN(2)/2)*DW192*DZ192*VLOOKUP('Données projet'!$B$14,Paramètres!$A$1:$I$89,3,0)*0.475*44/12</f>
        <v>2.2742403456665874E-18</v>
      </c>
      <c r="ED192" s="22">
        <f t="shared" si="178"/>
        <v>5.1484837937958829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2.2737367544323206E-13</v>
      </c>
      <c r="EK192" s="17">
        <f>EJ192*VLOOKUP('Données projet'!$B$15,Paramètres!$A$1:$I$89,3,0)*VLOOKUP('Données projet'!$B$15,Paramètres!$A$1:$I$89,5,0)</f>
        <v>1.2710188457276673E-13</v>
      </c>
      <c r="EL192" s="13">
        <f t="shared" si="179"/>
        <v>1.856866851063998E-12</v>
      </c>
      <c r="EM192" s="20">
        <f t="shared" si="180"/>
        <v>3.4554122145673649E-12</v>
      </c>
      <c r="EN192" s="59">
        <f t="shared" si="128"/>
        <v>293.33333333333678</v>
      </c>
      <c r="EO192" s="59">
        <f ca="1">AVERAGE(OFFSET($EN$3,0,0,'Données projet'!$E$15+1,1))-AVERAGE(OFFSET($H$3,0,0,'Données projet'!$E$15+1,1))</f>
        <v>313.36787814924116</v>
      </c>
      <c r="EP192" s="59">
        <f t="shared" si="154"/>
        <v>438.72984487610216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18.85368444640514</v>
      </c>
      <c r="EW192" s="21">
        <f>EXP(-LN(2)/25)*EW191+(1-EXP(-LN(2)/25))/(LN(2)/25)*Calculateur!ER192*Calculateur!ET192*VLOOKUP('Données projet'!$B$15,Paramètres!$A$1:$I$89,3,0)*0.475*44/12</f>
        <v>1.3240316967228292</v>
      </c>
      <c r="EX192" s="21">
        <f>EXP(-LN(2)/2)*EX191+(1-EXP(-LN(2)/2))/(LN(2)/2)*ER192*EU192*VLOOKUP('Données projet'!$B$15,Paramètres!$A$1:$I$89,3,0)*0.475*44/12</f>
        <v>4.5434055798769589E-20</v>
      </c>
      <c r="EY192" s="22">
        <f t="shared" si="181"/>
        <v>20.17771614312797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-5.6843418860808015E-14</v>
      </c>
      <c r="O193" s="13">
        <f>N193*VLOOKUP('Données projet'!$B$9,Paramètres!$A$1:$I$89,3,0)*VLOOKUP('Données projet'!$B$9,Paramètres!$A$1:$I$89,5,0)</f>
        <v>-5.1431925385259088E-14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173.91998182168385</v>
      </c>
      <c r="T193" s="59">
        <f t="shared" si="142"/>
        <v>72.011647893875363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23.01571162173671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23.01571162173671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-2.8421709430404007E-14</v>
      </c>
      <c r="AJ193" s="13">
        <f>AI193*VLOOKUP('Données projet'!$B$10,Paramètres!$A$1:$I$89,3,0)*VLOOKUP('Données projet'!$B$10,Paramètres!$A$1:$I$89,5,0)</f>
        <v>-3.0593128030886874E-14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150.9416300233616</v>
      </c>
      <c r="AO193" s="59">
        <f t="shared" si="144"/>
        <v>92.286636088269972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11.188110490627658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11.188110490627658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-2.8421709430404007E-14</v>
      </c>
      <c r="BE193" s="13">
        <f>BD193*VLOOKUP('Données projet'!$B$11,Paramètres!$A$1:$I$89,3,0)*VLOOKUP('Données projet'!$B$11,Paramètres!$A$1:$I$89,5,0)</f>
        <v>-2.7489477361086758E-14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131.02416800340484</v>
      </c>
      <c r="BJ193" s="59">
        <f t="shared" si="146"/>
        <v>79.394119001888555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10.053084788679923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10.053084788679923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-2.8421709430404007E-14</v>
      </c>
      <c r="BZ193" s="13">
        <f>BY193*VLOOKUP('Données projet'!$B$12,Paramètres!$A$1:$I$89,3,0)*VLOOKUP('Données projet'!$B$12,Paramètres!$A$1:$I$89,5,0)</f>
        <v>-2.5715962692629544E-14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119.62076457560073</v>
      </c>
      <c r="CE193" s="59">
        <f t="shared" si="148"/>
        <v>72.011647893875363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9.4044986732812106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9.4044986732812106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-2.8421709430404007E-14</v>
      </c>
      <c r="CU193" s="17">
        <f>CT193*VLOOKUP('Données projet'!$B$13,Paramètres!$A$1:$I$89,3,0)*VLOOKUP('Données projet'!$B$13,Paramètres!$A$1:$I$89,5,0)</f>
        <v>-3.0593128030886874E-14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150.9416300233616</v>
      </c>
      <c r="CZ193" s="59">
        <f t="shared" si="150"/>
        <v>92.286636088269972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11.188110490627658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11.188110490627658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439.99999999999943</v>
      </c>
      <c r="DP193" s="17">
        <f>DO193*VLOOKUP('Données projet'!$B$14,Paramètres!$A$1:$I$89,3,0)*VLOOKUP('Données projet'!$B$14,Paramètres!$A$1:$I$89,5,0)</f>
        <v>263.11999999999966</v>
      </c>
      <c r="DQ193" s="13">
        <f t="shared" si="176"/>
        <v>63.386973458751953</v>
      </c>
      <c r="DR193" s="20">
        <f t="shared" si="177"/>
        <v>568.66631210732578</v>
      </c>
      <c r="DS193" s="59">
        <f t="shared" si="125"/>
        <v>861.99964544065915</v>
      </c>
      <c r="DT193" s="59">
        <f ca="1">AVERAGE(OFFSET($DS$3,0,0,'Données projet'!$E$14+1,1))-AVERAGE(OFFSET($H$3,0,0,'Données projet'!$E$14+1,1))</f>
        <v>249.22792522076639</v>
      </c>
      <c r="DU193" s="59">
        <f t="shared" si="152"/>
        <v>244.53725944480669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4.4377529964634626</v>
      </c>
      <c r="EB193" s="21">
        <f>EXP(-LN(2)/25)*EB192+(1-EXP(-LN(2)/25))/(LN(2)/25)*Calculateur!DW193*Calculateur!DY193*VLOOKUP('Données projet'!$B$14,Paramètres!$A$1:$I$89,3,0)*0.475*44/12</f>
        <v>0.6049608312460405</v>
      </c>
      <c r="EC193" s="21">
        <f>EXP(-LN(2)/2)*EC192+(1-EXP(-LN(2)/2))/(LN(2)/2)*DW193*DZ193*VLOOKUP('Données projet'!$B$14,Paramètres!$A$1:$I$89,3,0)*0.475*44/12</f>
        <v>1.6081307704688818E-18</v>
      </c>
      <c r="ED193" s="22">
        <f t="shared" si="178"/>
        <v>5.0427138277095027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2.2737367544323206E-13</v>
      </c>
      <c r="EK193" s="17">
        <f>EJ193*VLOOKUP('Données projet'!$B$15,Paramètres!$A$1:$I$89,3,0)*VLOOKUP('Données projet'!$B$15,Paramètres!$A$1:$I$89,5,0)</f>
        <v>1.2710188457276673E-13</v>
      </c>
      <c r="EL193" s="13">
        <f t="shared" si="179"/>
        <v>1.856866851063998E-12</v>
      </c>
      <c r="EM193" s="20">
        <f t="shared" si="180"/>
        <v>3.4554122145673649E-12</v>
      </c>
      <c r="EN193" s="59">
        <f t="shared" si="128"/>
        <v>293.33333333333678</v>
      </c>
      <c r="EO193" s="59">
        <f ca="1">AVERAGE(OFFSET($EN$3,0,0,'Données projet'!$E$15+1,1))-AVERAGE(OFFSET($H$3,0,0,'Données projet'!$E$15+1,1))</f>
        <v>313.36787814924116</v>
      </c>
      <c r="EP193" s="59">
        <f t="shared" si="154"/>
        <v>438.72984487610216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18.483975194023156</v>
      </c>
      <c r="EW193" s="21">
        <f>EXP(-LN(2)/25)*EW192+(1-EXP(-LN(2)/25))/(LN(2)/25)*Calculateur!ER193*Calculateur!ET193*VLOOKUP('Données projet'!$B$15,Paramètres!$A$1:$I$89,3,0)*0.475*44/12</f>
        <v>1.2878259803481427</v>
      </c>
      <c r="EX193" s="21">
        <f>EXP(-LN(2)/2)*EX192+(1-EXP(-LN(2)/2))/(LN(2)/2)*ER193*EU193*VLOOKUP('Données projet'!$B$15,Paramètres!$A$1:$I$89,3,0)*0.475*44/12</f>
        <v>3.2126728952117958E-20</v>
      </c>
      <c r="EY193" s="22">
        <f t="shared" si="181"/>
        <v>19.771801174371298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-5.6843418860808015E-14</v>
      </c>
      <c r="O194" s="13">
        <f>N194*VLOOKUP('Données projet'!$B$9,Paramètres!$A$1:$I$89,3,0)*VLOOKUP('Données projet'!$B$9,Paramètres!$A$1:$I$89,5,0)</f>
        <v>-5.1431925385259088E-14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173.91998182168385</v>
      </c>
      <c r="T194" s="59">
        <f t="shared" si="142"/>
        <v>72.011647893875363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22.564387555032386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22.564387555032386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-2.8421709430404007E-14</v>
      </c>
      <c r="AJ194" s="13">
        <f>AI194*VLOOKUP('Données projet'!$B$10,Paramètres!$A$1:$I$89,3,0)*VLOOKUP('Données projet'!$B$10,Paramètres!$A$1:$I$89,5,0)</f>
        <v>-3.0593128030886874E-14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150.9416300233616</v>
      </c>
      <c r="AO194" s="59">
        <f t="shared" si="144"/>
        <v>92.286636088269972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10.968718467980027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10.968718467980027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-2.8421709430404007E-14</v>
      </c>
      <c r="BE194" s="13">
        <f>BD194*VLOOKUP('Données projet'!$B$11,Paramètres!$A$1:$I$89,3,0)*VLOOKUP('Données projet'!$B$11,Paramètres!$A$1:$I$89,5,0)</f>
        <v>-2.7489477361086758E-14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131.02416800340484</v>
      </c>
      <c r="BJ194" s="59">
        <f t="shared" si="146"/>
        <v>79.394119001888555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9.855949927750169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9.855949927750169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-2.8421709430404007E-14</v>
      </c>
      <c r="BZ194" s="13">
        <f>BY194*VLOOKUP('Données projet'!$B$12,Paramètres!$A$1:$I$89,3,0)*VLOOKUP('Données projet'!$B$12,Paramètres!$A$1:$I$89,5,0)</f>
        <v>-2.5715962692629544E-14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119.62076457560073</v>
      </c>
      <c r="CE194" s="59">
        <f t="shared" si="148"/>
        <v>72.011647893875363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9.2200821904759565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9.2200821904759565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-2.8421709430404007E-14</v>
      </c>
      <c r="CU194" s="17">
        <f>CT194*VLOOKUP('Données projet'!$B$13,Paramètres!$A$1:$I$89,3,0)*VLOOKUP('Données projet'!$B$13,Paramètres!$A$1:$I$89,5,0)</f>
        <v>-3.0593128030886874E-14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150.9416300233616</v>
      </c>
      <c r="CZ194" s="59">
        <f t="shared" si="150"/>
        <v>92.286636088269972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10.968718467980027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10.968718467980027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439.99999999999943</v>
      </c>
      <c r="DP194" s="17">
        <f>DO194*VLOOKUP('Données projet'!$B$14,Paramètres!$A$1:$I$89,3,0)*VLOOKUP('Données projet'!$B$14,Paramètres!$A$1:$I$89,5,0)</f>
        <v>263.11999999999966</v>
      </c>
      <c r="DQ194" s="13">
        <f t="shared" si="176"/>
        <v>63.386973458751953</v>
      </c>
      <c r="DR194" s="20">
        <f t="shared" si="177"/>
        <v>568.66631210732578</v>
      </c>
      <c r="DS194" s="59">
        <f t="shared" si="125"/>
        <v>861.99964544065915</v>
      </c>
      <c r="DT194" s="59">
        <f ca="1">AVERAGE(OFFSET($DS$3,0,0,'Données projet'!$E$14+1,1))-AVERAGE(OFFSET($H$3,0,0,'Données projet'!$E$14+1,1))</f>
        <v>249.22792522076639</v>
      </c>
      <c r="DU194" s="59">
        <f t="shared" si="152"/>
        <v>244.53725944480669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4.3507313669648715</v>
      </c>
      <c r="EB194" s="21">
        <f>EXP(-LN(2)/25)*EB193+(1-EXP(-LN(2)/25))/(LN(2)/25)*Calculateur!DW194*Calculateur!DY194*VLOOKUP('Données projet'!$B$14,Paramètres!$A$1:$I$89,3,0)*0.475*44/12</f>
        <v>0.58841814550211002</v>
      </c>
      <c r="EC194" s="21">
        <f>EXP(-LN(2)/2)*EC193+(1-EXP(-LN(2)/2))/(LN(2)/2)*DW194*DZ194*VLOOKUP('Données projet'!$B$14,Paramètres!$A$1:$I$89,3,0)*0.475*44/12</f>
        <v>1.1371201728332937E-18</v>
      </c>
      <c r="ED194" s="22">
        <f t="shared" si="178"/>
        <v>4.9391495124669813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2.2737367544323206E-13</v>
      </c>
      <c r="EK194" s="17">
        <f>EJ194*VLOOKUP('Données projet'!$B$15,Paramètres!$A$1:$I$89,3,0)*VLOOKUP('Données projet'!$B$15,Paramètres!$A$1:$I$89,5,0)</f>
        <v>1.2710188457276673E-13</v>
      </c>
      <c r="EL194" s="13">
        <f t="shared" si="179"/>
        <v>1.856866851063998E-12</v>
      </c>
      <c r="EM194" s="20">
        <f t="shared" si="180"/>
        <v>3.4554122145673649E-12</v>
      </c>
      <c r="EN194" s="59">
        <f t="shared" si="128"/>
        <v>293.33333333333678</v>
      </c>
      <c r="EO194" s="59">
        <f ca="1">AVERAGE(OFFSET($EN$3,0,0,'Données projet'!$E$15+1,1))-AVERAGE(OFFSET($H$3,0,0,'Données projet'!$E$15+1,1))</f>
        <v>313.36787814924116</v>
      </c>
      <c r="EP194" s="59">
        <f t="shared" si="154"/>
        <v>438.72984487610216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18.121515714580003</v>
      </c>
      <c r="EW194" s="21">
        <f>EXP(-LN(2)/25)*EW193+(1-EXP(-LN(2)/25))/(LN(2)/25)*Calculateur!ER194*Calculateur!ET194*VLOOKUP('Données projet'!$B$15,Paramètres!$A$1:$I$89,3,0)*0.475*44/12</f>
        <v>1.2526103111916977</v>
      </c>
      <c r="EX194" s="21">
        <f>EXP(-LN(2)/2)*EX193+(1-EXP(-LN(2)/2))/(LN(2)/2)*ER194*EU194*VLOOKUP('Données projet'!$B$15,Paramètres!$A$1:$I$89,3,0)*0.475*44/12</f>
        <v>2.2717027899384795E-20</v>
      </c>
      <c r="EY194" s="22">
        <f t="shared" si="181"/>
        <v>19.374126025771702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-5.6843418860808015E-14</v>
      </c>
      <c r="O195" s="13">
        <f>N195*VLOOKUP('Données projet'!$B$9,Paramètres!$A$1:$I$89,3,0)*VLOOKUP('Données projet'!$B$9,Paramètres!$A$1:$I$89,5,0)</f>
        <v>-5.1431925385259088E-14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173.91998182168385</v>
      </c>
      <c r="T195" s="59">
        <f t="shared" si="142"/>
        <v>72.011647893875363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22.121913677995636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22.121913677995636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-2.8421709430404007E-14</v>
      </c>
      <c r="AJ195" s="13">
        <f>AI195*VLOOKUP('Données projet'!$B$10,Paramètres!$A$1:$I$89,3,0)*VLOOKUP('Données projet'!$B$10,Paramètres!$A$1:$I$89,5,0)</f>
        <v>-3.0593128030886874E-14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150.9416300233616</v>
      </c>
      <c r="AO195" s="59">
        <f t="shared" si="144"/>
        <v>92.286636088269972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10.753628589080597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10.753628589080597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-2.8421709430404007E-14</v>
      </c>
      <c r="BE195" s="13">
        <f>BD195*VLOOKUP('Données projet'!$B$11,Paramètres!$A$1:$I$89,3,0)*VLOOKUP('Données projet'!$B$11,Paramètres!$A$1:$I$89,5,0)</f>
        <v>-2.7489477361086758E-14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131.02416800340484</v>
      </c>
      <c r="BJ195" s="59">
        <f t="shared" si="146"/>
        <v>79.394119001888555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9.6626807612028536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9.6626807612028536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-2.8421709430404007E-14</v>
      </c>
      <c r="BZ195" s="13">
        <f>BY195*VLOOKUP('Données projet'!$B$12,Paramètres!$A$1:$I$89,3,0)*VLOOKUP('Données projet'!$B$12,Paramètres!$A$1:$I$89,5,0)</f>
        <v>-2.5715962692629544E-14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119.62076457560073</v>
      </c>
      <c r="CE195" s="59">
        <f t="shared" si="148"/>
        <v>72.011647893875363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9.0392820024155647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9.0392820024155647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-2.8421709430404007E-14</v>
      </c>
      <c r="CU195" s="17">
        <f>CT195*VLOOKUP('Données projet'!$B$13,Paramètres!$A$1:$I$89,3,0)*VLOOKUP('Données projet'!$B$13,Paramètres!$A$1:$I$89,5,0)</f>
        <v>-3.0593128030886874E-14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150.9416300233616</v>
      </c>
      <c r="CZ195" s="59">
        <f t="shared" si="150"/>
        <v>92.286636088269972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10.753628589080597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10.753628589080597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439.99999999999943</v>
      </c>
      <c r="DP195" s="17">
        <f>DO195*VLOOKUP('Données projet'!$B$14,Paramètres!$A$1:$I$89,3,0)*VLOOKUP('Données projet'!$B$14,Paramètres!$A$1:$I$89,5,0)</f>
        <v>263.11999999999966</v>
      </c>
      <c r="DQ195" s="13">
        <f t="shared" si="176"/>
        <v>63.386973458751953</v>
      </c>
      <c r="DR195" s="20">
        <f t="shared" si="177"/>
        <v>568.66631210732578</v>
      </c>
      <c r="DS195" s="59">
        <f t="shared" si="125"/>
        <v>861.99964544065915</v>
      </c>
      <c r="DT195" s="59">
        <f ca="1">AVERAGE(OFFSET($DS$3,0,0,'Données projet'!$E$14+1,1))-AVERAGE(OFFSET($H$3,0,0,'Données projet'!$E$14+1,1))</f>
        <v>249.22792522076639</v>
      </c>
      <c r="DU195" s="59">
        <f t="shared" si="152"/>
        <v>244.53725944480669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4.2654161785427949</v>
      </c>
      <c r="EB195" s="21">
        <f>EXP(-LN(2)/25)*EB194+(1-EXP(-LN(2)/25))/(LN(2)/25)*Calculateur!DW195*Calculateur!DY195*VLOOKUP('Données projet'!$B$14,Paramètres!$A$1:$I$89,3,0)*0.475*44/12</f>
        <v>0.57232782036978935</v>
      </c>
      <c r="EC195" s="21">
        <f>EXP(-LN(2)/2)*EC194+(1-EXP(-LN(2)/2))/(LN(2)/2)*DW195*DZ195*VLOOKUP('Données projet'!$B$14,Paramètres!$A$1:$I$89,3,0)*0.475*44/12</f>
        <v>8.0406538523444091E-19</v>
      </c>
      <c r="ED195" s="22">
        <f t="shared" si="178"/>
        <v>4.8377439989125843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2.2737367544323206E-13</v>
      </c>
      <c r="EK195" s="17">
        <f>EJ195*VLOOKUP('Données projet'!$B$15,Paramètres!$A$1:$I$89,3,0)*VLOOKUP('Données projet'!$B$15,Paramètres!$A$1:$I$89,5,0)</f>
        <v>1.2710188457276673E-13</v>
      </c>
      <c r="EL195" s="13">
        <f t="shared" si="179"/>
        <v>1.856866851063998E-12</v>
      </c>
      <c r="EM195" s="20">
        <f t="shared" si="180"/>
        <v>3.4554122145673649E-12</v>
      </c>
      <c r="EN195" s="59">
        <f t="shared" si="128"/>
        <v>293.33333333333678</v>
      </c>
      <c r="EO195" s="59">
        <f ca="1">AVERAGE(OFFSET($EN$3,0,0,'Données projet'!$E$15+1,1))-AVERAGE(OFFSET($H$3,0,0,'Données projet'!$E$15+1,1))</f>
        <v>313.36787814924116</v>
      </c>
      <c r="EP195" s="59">
        <f t="shared" si="154"/>
        <v>438.72984487610216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17.766163844450279</v>
      </c>
      <c r="EW195" s="21">
        <f>EXP(-LN(2)/25)*EW194+(1-EXP(-LN(2)/25))/(LN(2)/25)*Calculateur!ER195*Calculateur!ET195*VLOOKUP('Données projet'!$B$15,Paramètres!$A$1:$I$89,3,0)*0.475*44/12</f>
        <v>1.2183576163602474</v>
      </c>
      <c r="EX195" s="21">
        <f>EXP(-LN(2)/2)*EX194+(1-EXP(-LN(2)/2))/(LN(2)/2)*ER195*EU195*VLOOKUP('Données projet'!$B$15,Paramètres!$A$1:$I$89,3,0)*0.475*44/12</f>
        <v>1.6063364476058979E-20</v>
      </c>
      <c r="EY195" s="22">
        <f t="shared" si="181"/>
        <v>18.984521460810527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-5.6843418860808015E-14</v>
      </c>
      <c r="O196" s="13">
        <f>N196*VLOOKUP('Données projet'!$B$9,Paramètres!$A$1:$I$89,3,0)*VLOOKUP('Données projet'!$B$9,Paramètres!$A$1:$I$89,5,0)</f>
        <v>-5.1431925385259088E-14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173.91998182168385</v>
      </c>
      <c r="T196" s="59">
        <f t="shared" si="142"/>
        <v>72.011647893875363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21.688116443805157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21.688116443805157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-2.8421709430404007E-14</v>
      </c>
      <c r="AJ196" s="13">
        <f>AI196*VLOOKUP('Données projet'!$B$10,Paramètres!$A$1:$I$89,3,0)*VLOOKUP('Données projet'!$B$10,Paramètres!$A$1:$I$89,5,0)</f>
        <v>-3.0593128030886874E-14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150.9416300233616</v>
      </c>
      <c r="AO196" s="59">
        <f t="shared" si="144"/>
        <v>92.286636088269972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10.542756491514512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10.542756491514512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-2.8421709430404007E-14</v>
      </c>
      <c r="BE196" s="13">
        <f>BD196*VLOOKUP('Données projet'!$B$11,Paramètres!$A$1:$I$89,3,0)*VLOOKUP('Données projet'!$B$11,Paramètres!$A$1:$I$89,5,0)</f>
        <v>-2.7489477361086758E-14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131.02416800340484</v>
      </c>
      <c r="BJ196" s="59">
        <f t="shared" si="146"/>
        <v>79.394119001888555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9.4732014851289801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9.4732014851289801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-2.8421709430404007E-14</v>
      </c>
      <c r="BZ196" s="13">
        <f>BY196*VLOOKUP('Données projet'!$B$12,Paramètres!$A$1:$I$89,3,0)*VLOOKUP('Données projet'!$B$12,Paramètres!$A$1:$I$89,5,0)</f>
        <v>-2.5715962692629544E-14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119.62076457560073</v>
      </c>
      <c r="CE196" s="59">
        <f t="shared" si="148"/>
        <v>72.011647893875363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8.8620271957658119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8.8620271957658119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-2.8421709430404007E-14</v>
      </c>
      <c r="CU196" s="17">
        <f>CT196*VLOOKUP('Données projet'!$B$13,Paramètres!$A$1:$I$89,3,0)*VLOOKUP('Données projet'!$B$13,Paramètres!$A$1:$I$89,5,0)</f>
        <v>-3.0593128030886874E-14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150.9416300233616</v>
      </c>
      <c r="CZ196" s="59">
        <f t="shared" si="150"/>
        <v>92.286636088269972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10.542756491514512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10.542756491514512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439.99999999999943</v>
      </c>
      <c r="DP196" s="17">
        <f>DO196*VLOOKUP('Données projet'!$B$14,Paramètres!$A$1:$I$89,3,0)*VLOOKUP('Données projet'!$B$14,Paramètres!$A$1:$I$89,5,0)</f>
        <v>263.11999999999966</v>
      </c>
      <c r="DQ196" s="13">
        <f t="shared" si="176"/>
        <v>63.386973458751953</v>
      </c>
      <c r="DR196" s="20">
        <f t="shared" si="177"/>
        <v>568.66631210732578</v>
      </c>
      <c r="DS196" s="59">
        <f t="shared" ref="DS196:DS203" si="197">DR196+(DJ196+DK196)*44/12</f>
        <v>861.99964544065915</v>
      </c>
      <c r="DT196" s="59">
        <f ca="1">AVERAGE(OFFSET($DS$3,0,0,'Données projet'!$E$14+1,1))-AVERAGE(OFFSET($H$3,0,0,'Données projet'!$E$14+1,1))</f>
        <v>249.22792522076639</v>
      </c>
      <c r="DU196" s="59">
        <f t="shared" si="152"/>
        <v>244.53725944480669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4.1817739689285487</v>
      </c>
      <c r="EB196" s="21">
        <f>EXP(-LN(2)/25)*EB195+(1-EXP(-LN(2)/25))/(LN(2)/25)*Calculateur!DW196*Calculateur!DY196*VLOOKUP('Données projet'!$B$14,Paramètres!$A$1:$I$89,3,0)*0.475*44/12</f>
        <v>0.55667748602436551</v>
      </c>
      <c r="EC196" s="21">
        <f>EXP(-LN(2)/2)*EC195+(1-EXP(-LN(2)/2))/(LN(2)/2)*DW196*DZ196*VLOOKUP('Données projet'!$B$14,Paramètres!$A$1:$I$89,3,0)*0.475*44/12</f>
        <v>5.6856008641664684E-19</v>
      </c>
      <c r="ED196" s="22">
        <f t="shared" si="178"/>
        <v>4.738451454952914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2.2737367544323206E-13</v>
      </c>
      <c r="EK196" s="17">
        <f>EJ196*VLOOKUP('Données projet'!$B$15,Paramètres!$A$1:$I$89,3,0)*VLOOKUP('Données projet'!$B$15,Paramètres!$A$1:$I$89,5,0)</f>
        <v>1.2710188457276673E-13</v>
      </c>
      <c r="EL196" s="13">
        <f t="shared" si="179"/>
        <v>1.856866851063998E-12</v>
      </c>
      <c r="EM196" s="20">
        <f t="shared" si="180"/>
        <v>3.4554122145673649E-12</v>
      </c>
      <c r="EN196" s="59">
        <f t="shared" ref="EN196:EN203" si="198">EM196+(EE196+EF196)*44/12</f>
        <v>293.33333333333678</v>
      </c>
      <c r="EO196" s="59">
        <f ca="1">AVERAGE(OFFSET($EN$3,0,0,'Données projet'!$E$15+1,1))-AVERAGE(OFFSET($H$3,0,0,'Données projet'!$E$15+1,1))</f>
        <v>313.36787814924116</v>
      </c>
      <c r="EP196" s="59">
        <f t="shared" si="154"/>
        <v>438.72984487610216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17.41778020775056</v>
      </c>
      <c r="EW196" s="21">
        <f>EXP(-LN(2)/25)*EW195+(1-EXP(-LN(2)/25))/(LN(2)/25)*Calculateur!ER196*Calculateur!ET196*VLOOKUP('Données projet'!$B$15,Paramètres!$A$1:$I$89,3,0)*0.475*44/12</f>
        <v>1.185041563270234</v>
      </c>
      <c r="EX196" s="21">
        <f>EXP(-LN(2)/2)*EX195+(1-EXP(-LN(2)/2))/(LN(2)/2)*ER196*EU196*VLOOKUP('Données projet'!$B$15,Paramètres!$A$1:$I$89,3,0)*0.475*44/12</f>
        <v>1.1358513949692397E-20</v>
      </c>
      <c r="EY196" s="22">
        <f t="shared" si="181"/>
        <v>18.602821771020793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-5.6843418860808015E-14</v>
      </c>
      <c r="O197" s="13">
        <f>N197*VLOOKUP('Données projet'!$B$9,Paramètres!$A$1:$I$89,3,0)*VLOOKUP('Données projet'!$B$9,Paramètres!$A$1:$I$89,5,0)</f>
        <v>-5.1431925385259088E-14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173.91998182168385</v>
      </c>
      <c r="T197" s="59">
        <f t="shared" ref="T197:T203" si="204">$T$3</f>
        <v>72.011647893875363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21.26282570878697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21.26282570878697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-2.8421709430404007E-14</v>
      </c>
      <c r="AJ197" s="13">
        <f>AI197*VLOOKUP('Données projet'!$B$10,Paramètres!$A$1:$I$89,3,0)*VLOOKUP('Données projet'!$B$10,Paramètres!$A$1:$I$89,5,0)</f>
        <v>-3.0593128030886874E-14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150.9416300233616</v>
      </c>
      <c r="AO197" s="59">
        <f t="shared" ref="AO197:AO203" si="205">$AO$3</f>
        <v>92.286636088269972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10.336019467162417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10.336019467162417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-2.8421709430404007E-14</v>
      </c>
      <c r="BE197" s="13">
        <f>BD197*VLOOKUP('Données projet'!$B$11,Paramètres!$A$1:$I$89,3,0)*VLOOKUP('Données projet'!$B$11,Paramètres!$A$1:$I$89,5,0)</f>
        <v>-2.7489477361086758E-14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131.02416800340484</v>
      </c>
      <c r="BJ197" s="59">
        <f t="shared" ref="BJ197:BJ203" si="206">$BJ$3</f>
        <v>79.394119001888555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9.2874377820879683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9.2874377820879683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-2.8421709430404007E-14</v>
      </c>
      <c r="BZ197" s="13">
        <f>BY197*VLOOKUP('Données projet'!$B$12,Paramètres!$A$1:$I$89,3,0)*VLOOKUP('Données projet'!$B$12,Paramètres!$A$1:$I$89,5,0)</f>
        <v>-2.5715962692629544E-14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119.62076457560073</v>
      </c>
      <c r="CE197" s="59">
        <f t="shared" ref="CE197:CE203" si="207">$CE$3</f>
        <v>72.011647893875363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8.6882482477597041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8.6882482477597041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-2.8421709430404007E-14</v>
      </c>
      <c r="CU197" s="17">
        <f>CT197*VLOOKUP('Données projet'!$B$13,Paramètres!$A$1:$I$89,3,0)*VLOOKUP('Données projet'!$B$13,Paramètres!$A$1:$I$89,5,0)</f>
        <v>-3.0593128030886874E-14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150.9416300233616</v>
      </c>
      <c r="CZ197" s="59">
        <f t="shared" ref="CZ197:CZ203" si="208">$CZ$3</f>
        <v>92.286636088269972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10.336019467162417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10.336019467162417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439.99999999999943</v>
      </c>
      <c r="DP197" s="17">
        <f>DO197*VLOOKUP('Données projet'!$B$14,Paramètres!$A$1:$I$89,3,0)*VLOOKUP('Données projet'!$B$14,Paramètres!$A$1:$I$89,5,0)</f>
        <v>263.11999999999966</v>
      </c>
      <c r="DQ197" s="13">
        <f t="shared" si="176"/>
        <v>63.386973458751953</v>
      </c>
      <c r="DR197" s="20">
        <f t="shared" si="177"/>
        <v>568.66631210732578</v>
      </c>
      <c r="DS197" s="59">
        <f t="shared" si="197"/>
        <v>861.99964544065915</v>
      </c>
      <c r="DT197" s="59">
        <f ca="1">AVERAGE(OFFSET($DS$3,0,0,'Données projet'!$E$14+1,1))-AVERAGE(OFFSET($H$3,0,0,'Données projet'!$E$14+1,1))</f>
        <v>249.22792522076639</v>
      </c>
      <c r="DU197" s="59">
        <f t="shared" ref="DU197:DU203" si="209">$DU$3</f>
        <v>244.53725944480669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4.0997719320281272</v>
      </c>
      <c r="EB197" s="21">
        <f>EXP(-LN(2)/25)*EB196+(1-EXP(-LN(2)/25))/(LN(2)/25)*Calculateur!DW197*Calculateur!DY197*VLOOKUP('Données projet'!$B$14,Paramètres!$A$1:$I$89,3,0)*0.475*44/12</f>
        <v>0.5414551108946325</v>
      </c>
      <c r="EC197" s="21">
        <f>EXP(-LN(2)/2)*EC196+(1-EXP(-LN(2)/2))/(LN(2)/2)*DW197*DZ197*VLOOKUP('Données projet'!$B$14,Paramètres!$A$1:$I$89,3,0)*0.475*44/12</f>
        <v>4.0203269261722045E-19</v>
      </c>
      <c r="ED197" s="22">
        <f t="shared" si="178"/>
        <v>4.6412270429227593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2.2737367544323206E-13</v>
      </c>
      <c r="EK197" s="17">
        <f>EJ197*VLOOKUP('Données projet'!$B$15,Paramètres!$A$1:$I$89,3,0)*VLOOKUP('Données projet'!$B$15,Paramètres!$A$1:$I$89,5,0)</f>
        <v>1.2710188457276673E-13</v>
      </c>
      <c r="EL197" s="13">
        <f t="shared" si="179"/>
        <v>1.856866851063998E-12</v>
      </c>
      <c r="EM197" s="20">
        <f t="shared" si="180"/>
        <v>3.4554122145673649E-12</v>
      </c>
      <c r="EN197" s="59">
        <f t="shared" si="198"/>
        <v>293.33333333333678</v>
      </c>
      <c r="EO197" s="59">
        <f ca="1">AVERAGE(OFFSET($EN$3,0,0,'Données projet'!$E$15+1,1))-AVERAGE(OFFSET($H$3,0,0,'Données projet'!$E$15+1,1))</f>
        <v>313.36787814924116</v>
      </c>
      <c r="EP197" s="59">
        <f t="shared" ref="EP197:EP203" si="210">$EP$3</f>
        <v>438.72984487610216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17.076228161673487</v>
      </c>
      <c r="EW197" s="21">
        <f>EXP(-LN(2)/25)*EW196+(1-EXP(-LN(2)/25))/(LN(2)/25)*Calculateur!ER197*Calculateur!ET197*VLOOKUP('Données projet'!$B$15,Paramètres!$A$1:$I$89,3,0)*0.475*44/12</f>
        <v>1.1526365394039821</v>
      </c>
      <c r="EX197" s="21">
        <f>EXP(-LN(2)/2)*EX196+(1-EXP(-LN(2)/2))/(LN(2)/2)*ER197*EU197*VLOOKUP('Données projet'!$B$15,Paramètres!$A$1:$I$89,3,0)*0.475*44/12</f>
        <v>8.0316822380294895E-21</v>
      </c>
      <c r="EY197" s="22">
        <f t="shared" si="181"/>
        <v>18.22886470107747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-5.6843418860808015E-14</v>
      </c>
      <c r="O198" s="13">
        <f>N198*VLOOKUP('Données projet'!$B$9,Paramètres!$A$1:$I$89,3,0)*VLOOKUP('Données projet'!$B$9,Paramètres!$A$1:$I$89,5,0)</f>
        <v>-5.1431925385259088E-14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173.91998182168385</v>
      </c>
      <c r="T198" s="59">
        <f t="shared" si="204"/>
        <v>72.011647893875363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20.845874665680753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20.845874665680753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-2.8421709430404007E-14</v>
      </c>
      <c r="AJ198" s="13">
        <f>AI198*VLOOKUP('Données projet'!$B$10,Paramètres!$A$1:$I$89,3,0)*VLOOKUP('Données projet'!$B$10,Paramètres!$A$1:$I$89,5,0)</f>
        <v>-3.0593128030886874E-14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150.9416300233616</v>
      </c>
      <c r="AO198" s="59">
        <f t="shared" si="205"/>
        <v>92.286636088269972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10.133336429760735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10.133336429760735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-2.8421709430404007E-14</v>
      </c>
      <c r="BE198" s="13">
        <f>BD198*VLOOKUP('Données projet'!$B$11,Paramètres!$A$1:$I$89,3,0)*VLOOKUP('Données projet'!$B$11,Paramètres!$A$1:$I$89,5,0)</f>
        <v>-2.7489477361086758E-14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131.02416800340484</v>
      </c>
      <c r="BJ198" s="59">
        <f t="shared" si="206"/>
        <v>79.394119001888555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9.10531679195892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9.10531679195892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-2.8421709430404007E-14</v>
      </c>
      <c r="BZ198" s="13">
        <f>BY198*VLOOKUP('Données projet'!$B$12,Paramètres!$A$1:$I$89,3,0)*VLOOKUP('Données projet'!$B$12,Paramètres!$A$1:$I$89,5,0)</f>
        <v>-2.5715962692629544E-14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119.62076457560073</v>
      </c>
      <c r="CE198" s="59">
        <f t="shared" si="207"/>
        <v>72.011647893875363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8.5178769989293048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8.5178769989293048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-2.8421709430404007E-14</v>
      </c>
      <c r="CU198" s="17">
        <f>CT198*VLOOKUP('Données projet'!$B$13,Paramètres!$A$1:$I$89,3,0)*VLOOKUP('Données projet'!$B$13,Paramètres!$A$1:$I$89,5,0)</f>
        <v>-3.0593128030886874E-14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150.9416300233616</v>
      </c>
      <c r="CZ198" s="59">
        <f t="shared" si="208"/>
        <v>92.286636088269972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10.133336429760735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10.133336429760735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439.99999999999943</v>
      </c>
      <c r="DP198" s="17">
        <f>DO198*VLOOKUP('Données projet'!$B$14,Paramètres!$A$1:$I$89,3,0)*VLOOKUP('Données projet'!$B$14,Paramètres!$A$1:$I$89,5,0)</f>
        <v>263.11999999999966</v>
      </c>
      <c r="DQ198" s="13">
        <f t="shared" si="176"/>
        <v>63.386973458751953</v>
      </c>
      <c r="DR198" s="20">
        <f t="shared" si="177"/>
        <v>568.66631210732578</v>
      </c>
      <c r="DS198" s="59">
        <f t="shared" si="197"/>
        <v>861.99964544065915</v>
      </c>
      <c r="DT198" s="59">
        <f ca="1">AVERAGE(OFFSET($DS$3,0,0,'Données projet'!$E$14+1,1))-AVERAGE(OFFSET($H$3,0,0,'Données projet'!$E$14+1,1))</f>
        <v>249.22792522076639</v>
      </c>
      <c r="DU198" s="59">
        <f t="shared" si="209"/>
        <v>244.53725944480669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4.0193779050550189</v>
      </c>
      <c r="EB198" s="21">
        <f>EXP(-LN(2)/25)*EB197+(1-EXP(-LN(2)/25))/(LN(2)/25)*Calculateur!DW198*Calculateur!DY198*VLOOKUP('Données projet'!$B$14,Paramètres!$A$1:$I$89,3,0)*0.475*44/12</f>
        <v>0.52664899241333196</v>
      </c>
      <c r="EC198" s="21">
        <f>EXP(-LN(2)/2)*EC197+(1-EXP(-LN(2)/2))/(LN(2)/2)*DW198*DZ198*VLOOKUP('Données projet'!$B$14,Paramètres!$A$1:$I$89,3,0)*0.475*44/12</f>
        <v>2.8428004320832342E-19</v>
      </c>
      <c r="ED198" s="22">
        <f t="shared" si="178"/>
        <v>4.5460268974683506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2.2737367544323206E-13</v>
      </c>
      <c r="EK198" s="17">
        <f>EJ198*VLOOKUP('Données projet'!$B$15,Paramètres!$A$1:$I$89,3,0)*VLOOKUP('Données projet'!$B$15,Paramètres!$A$1:$I$89,5,0)</f>
        <v>1.2710188457276673E-13</v>
      </c>
      <c r="EL198" s="13">
        <f t="shared" si="179"/>
        <v>1.856866851063998E-12</v>
      </c>
      <c r="EM198" s="20">
        <f t="shared" si="180"/>
        <v>3.4554122145673649E-12</v>
      </c>
      <c r="EN198" s="59">
        <f t="shared" si="198"/>
        <v>293.33333333333678</v>
      </c>
      <c r="EO198" s="59">
        <f ca="1">AVERAGE(OFFSET($EN$3,0,0,'Données projet'!$E$15+1,1))-AVERAGE(OFFSET($H$3,0,0,'Données projet'!$E$15+1,1))</f>
        <v>313.36787814924116</v>
      </c>
      <c r="EP198" s="59">
        <f t="shared" si="210"/>
        <v>438.72984487610216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16.741373742893806</v>
      </c>
      <c r="EW198" s="21">
        <f>EXP(-LN(2)/25)*EW197+(1-EXP(-LN(2)/25))/(LN(2)/25)*Calculateur!ER198*Calculateur!ET198*VLOOKUP('Données projet'!$B$15,Paramètres!$A$1:$I$89,3,0)*0.475*44/12</f>
        <v>1.121117632619459</v>
      </c>
      <c r="EX198" s="21">
        <f>EXP(-LN(2)/2)*EX197+(1-EXP(-LN(2)/2))/(LN(2)/2)*ER198*EU198*VLOOKUP('Données projet'!$B$15,Paramètres!$A$1:$I$89,3,0)*0.475*44/12</f>
        <v>5.6792569748461986E-21</v>
      </c>
      <c r="EY198" s="22">
        <f t="shared" si="181"/>
        <v>17.862491375513265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-5.6843418860808015E-14</v>
      </c>
      <c r="O199" s="13">
        <f>N199*VLOOKUP('Données projet'!$B$9,Paramètres!$A$1:$I$89,3,0)*VLOOKUP('Données projet'!$B$9,Paramètres!$A$1:$I$89,5,0)</f>
        <v>-5.1431925385259088E-14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173.91998182168385</v>
      </c>
      <c r="T199" s="59">
        <f t="shared" si="204"/>
        <v>72.011647893875363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20.437099778214826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20.437099778214826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-2.8421709430404007E-14</v>
      </c>
      <c r="AJ199" s="13">
        <f>AI199*VLOOKUP('Données projet'!$B$10,Paramètres!$A$1:$I$89,3,0)*VLOOKUP('Données projet'!$B$10,Paramètres!$A$1:$I$89,5,0)</f>
        <v>-3.0593128030886874E-14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150.9416300233616</v>
      </c>
      <c r="AO199" s="59">
        <f t="shared" si="205"/>
        <v>92.286636088269972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9.9346278830980541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9.9346278830980541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-2.8421709430404007E-14</v>
      </c>
      <c r="BE199" s="13">
        <f>BD199*VLOOKUP('Données projet'!$B$11,Paramètres!$A$1:$I$89,3,0)*VLOOKUP('Données projet'!$B$11,Paramètres!$A$1:$I$89,5,0)</f>
        <v>-2.7489477361086758E-14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131.02416800340484</v>
      </c>
      <c r="BJ199" s="59">
        <f t="shared" si="206"/>
        <v>79.394119001888555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8.9267670833634671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8.9267670833634671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-2.8421709430404007E-14</v>
      </c>
      <c r="BZ199" s="13">
        <f>BY199*VLOOKUP('Données projet'!$B$12,Paramètres!$A$1:$I$89,3,0)*VLOOKUP('Données projet'!$B$12,Paramètres!$A$1:$I$89,5,0)</f>
        <v>-2.5715962692629544E-14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119.62076457560073</v>
      </c>
      <c r="CE199" s="59">
        <f t="shared" si="207"/>
        <v>72.011647893875363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8.3508466263722685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8.3508466263722685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-2.8421709430404007E-14</v>
      </c>
      <c r="CU199" s="17">
        <f>CT199*VLOOKUP('Données projet'!$B$13,Paramètres!$A$1:$I$89,3,0)*VLOOKUP('Données projet'!$B$13,Paramètres!$A$1:$I$89,5,0)</f>
        <v>-3.0593128030886874E-14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150.9416300233616</v>
      </c>
      <c r="CZ199" s="59">
        <f t="shared" si="208"/>
        <v>92.286636088269972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9.9346278830980541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9.9346278830980541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439.99999999999943</v>
      </c>
      <c r="DP199" s="17">
        <f>DO199*VLOOKUP('Données projet'!$B$14,Paramètres!$A$1:$I$89,3,0)*VLOOKUP('Données projet'!$B$14,Paramètres!$A$1:$I$89,5,0)</f>
        <v>263.11999999999966</v>
      </c>
      <c r="DQ199" s="13">
        <f t="shared" si="176"/>
        <v>63.386973458751953</v>
      </c>
      <c r="DR199" s="20">
        <f t="shared" si="177"/>
        <v>568.66631210732578</v>
      </c>
      <c r="DS199" s="59">
        <f t="shared" si="197"/>
        <v>861.99964544065915</v>
      </c>
      <c r="DT199" s="59">
        <f ca="1">AVERAGE(OFFSET($DS$3,0,0,'Données projet'!$E$14+1,1))-AVERAGE(OFFSET($H$3,0,0,'Données projet'!$E$14+1,1))</f>
        <v>249.22792522076639</v>
      </c>
      <c r="DU199" s="59">
        <f t="shared" si="209"/>
        <v>244.53725944480669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3.9405603559153386</v>
      </c>
      <c r="EB199" s="21">
        <f>EXP(-LN(2)/25)*EB198+(1-EXP(-LN(2)/25))/(LN(2)/25)*Calculateur!DW199*Calculateur!DY199*VLOOKUP('Données projet'!$B$14,Paramètres!$A$1:$I$89,3,0)*0.475*44/12</f>
        <v>0.51224774802052253</v>
      </c>
      <c r="EC199" s="21">
        <f>EXP(-LN(2)/2)*EC198+(1-EXP(-LN(2)/2))/(LN(2)/2)*DW199*DZ199*VLOOKUP('Données projet'!$B$14,Paramètres!$A$1:$I$89,3,0)*0.475*44/12</f>
        <v>2.0101634630861023E-19</v>
      </c>
      <c r="ED199" s="22">
        <f t="shared" si="178"/>
        <v>4.4528081039358609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2.2737367544323206E-13</v>
      </c>
      <c r="EK199" s="17">
        <f>EJ199*VLOOKUP('Données projet'!$B$15,Paramètres!$A$1:$I$89,3,0)*VLOOKUP('Données projet'!$B$15,Paramètres!$A$1:$I$89,5,0)</f>
        <v>1.2710188457276673E-13</v>
      </c>
      <c r="EL199" s="13">
        <f t="shared" si="179"/>
        <v>1.856866851063998E-12</v>
      </c>
      <c r="EM199" s="20">
        <f t="shared" si="180"/>
        <v>3.4554122145673649E-12</v>
      </c>
      <c r="EN199" s="59">
        <f t="shared" si="198"/>
        <v>293.33333333333678</v>
      </c>
      <c r="EO199" s="59">
        <f ca="1">AVERAGE(OFFSET($EN$3,0,0,'Données projet'!$E$15+1,1))-AVERAGE(OFFSET($H$3,0,0,'Données projet'!$E$15+1,1))</f>
        <v>313.36787814924116</v>
      </c>
      <c r="EP199" s="59">
        <f t="shared" si="210"/>
        <v>438.72984487610216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16.413085615025366</v>
      </c>
      <c r="EW199" s="21">
        <f>EXP(-LN(2)/25)*EW198+(1-EXP(-LN(2)/25))/(LN(2)/25)*Calculateur!ER199*Calculateur!ET199*VLOOKUP('Données projet'!$B$15,Paramètres!$A$1:$I$89,3,0)*0.475*44/12</f>
        <v>1.0904606119984659</v>
      </c>
      <c r="EX199" s="21">
        <f>EXP(-LN(2)/2)*EX198+(1-EXP(-LN(2)/2))/(LN(2)/2)*ER199*EU199*VLOOKUP('Données projet'!$B$15,Paramètres!$A$1:$I$89,3,0)*0.475*44/12</f>
        <v>4.0158411190147448E-21</v>
      </c>
      <c r="EY199" s="22">
        <f t="shared" si="181"/>
        <v>17.503546227023833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-5.6843418860808015E-14</v>
      </c>
      <c r="O200" s="13">
        <f>N200*VLOOKUP('Données projet'!$B$9,Paramètres!$A$1:$I$89,3,0)*VLOOKUP('Données projet'!$B$9,Paramètres!$A$1:$I$89,5,0)</f>
        <v>-5.1431925385259088E-14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173.91998182168385</v>
      </c>
      <c r="T200" s="59">
        <f t="shared" si="204"/>
        <v>72.011647893875363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20.036340716964041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20.036340716964041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-2.8421709430404007E-14</v>
      </c>
      <c r="AJ200" s="13">
        <f>AI200*VLOOKUP('Données projet'!$B$10,Paramètres!$A$1:$I$89,3,0)*VLOOKUP('Données projet'!$B$10,Paramètres!$A$1:$I$89,5,0)</f>
        <v>-3.0593128030886874E-14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150.9416300233616</v>
      </c>
      <c r="AO200" s="59">
        <f t="shared" si="205"/>
        <v>92.286636088269972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9.7398158898351817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9.7398158898351817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-2.8421709430404007E-14</v>
      </c>
      <c r="BE200" s="13">
        <f>BD200*VLOOKUP('Données projet'!$B$11,Paramètres!$A$1:$I$89,3,0)*VLOOKUP('Données projet'!$B$11,Paramètres!$A$1:$I$89,5,0)</f>
        <v>-2.7489477361086758E-14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131.02416800340484</v>
      </c>
      <c r="BJ200" s="59">
        <f t="shared" si="206"/>
        <v>79.394119001888555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8.7517186256490014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8.7517186256490014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-2.8421709430404007E-14</v>
      </c>
      <c r="BZ200" s="13">
        <f>BY200*VLOOKUP('Données projet'!$B$12,Paramètres!$A$1:$I$89,3,0)*VLOOKUP('Données projet'!$B$12,Paramètres!$A$1:$I$89,5,0)</f>
        <v>-2.5715962692629544E-14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119.62076457560073</v>
      </c>
      <c r="CE200" s="59">
        <f t="shared" si="207"/>
        <v>72.011647893875363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8.1870916175426078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8.1870916175426078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-2.8421709430404007E-14</v>
      </c>
      <c r="CU200" s="17">
        <f>CT200*VLOOKUP('Données projet'!$B$13,Paramètres!$A$1:$I$89,3,0)*VLOOKUP('Données projet'!$B$13,Paramètres!$A$1:$I$89,5,0)</f>
        <v>-3.0593128030886874E-14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150.9416300233616</v>
      </c>
      <c r="CZ200" s="59">
        <f t="shared" si="208"/>
        <v>92.286636088269972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9.7398158898351817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9.7398158898351817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439.99999999999943</v>
      </c>
      <c r="DP200" s="17">
        <f>DO200*VLOOKUP('Données projet'!$B$14,Paramètres!$A$1:$I$89,3,0)*VLOOKUP('Données projet'!$B$14,Paramètres!$A$1:$I$89,5,0)</f>
        <v>263.11999999999966</v>
      </c>
      <c r="DQ200" s="13">
        <f t="shared" si="176"/>
        <v>63.386973458751953</v>
      </c>
      <c r="DR200" s="20">
        <f t="shared" si="177"/>
        <v>568.66631210732578</v>
      </c>
      <c r="DS200" s="59">
        <f t="shared" si="197"/>
        <v>861.99964544065915</v>
      </c>
      <c r="DT200" s="59">
        <f ca="1">AVERAGE(OFFSET($DS$3,0,0,'Données projet'!$E$14+1,1))-AVERAGE(OFFSET($H$3,0,0,'Données projet'!$E$14+1,1))</f>
        <v>249.22792522076639</v>
      </c>
      <c r="DU200" s="59">
        <f t="shared" si="209"/>
        <v>244.53725944480669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3.8632883708403294</v>
      </c>
      <c r="EB200" s="21">
        <f>EXP(-LN(2)/25)*EB199+(1-EXP(-LN(2)/25))/(LN(2)/25)*Calculateur!DW200*Calculateur!DY200*VLOOKUP('Données projet'!$B$14,Paramètres!$A$1:$I$89,3,0)*0.475*44/12</f>
        <v>0.49824030641296302</v>
      </c>
      <c r="EC200" s="21">
        <f>EXP(-LN(2)/2)*EC199+(1-EXP(-LN(2)/2))/(LN(2)/2)*DW200*DZ200*VLOOKUP('Données projet'!$B$14,Paramètres!$A$1:$I$89,3,0)*0.475*44/12</f>
        <v>1.4214002160416171E-19</v>
      </c>
      <c r="ED200" s="22">
        <f t="shared" si="178"/>
        <v>4.3615286772532924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2.2737367544323206E-13</v>
      </c>
      <c r="EK200" s="17">
        <f>EJ200*VLOOKUP('Données projet'!$B$15,Paramètres!$A$1:$I$89,3,0)*VLOOKUP('Données projet'!$B$15,Paramètres!$A$1:$I$89,5,0)</f>
        <v>1.2710188457276673E-13</v>
      </c>
      <c r="EL200" s="13">
        <f t="shared" si="179"/>
        <v>1.856866851063998E-12</v>
      </c>
      <c r="EM200" s="20">
        <f t="shared" si="180"/>
        <v>3.4554122145673649E-12</v>
      </c>
      <c r="EN200" s="59">
        <f t="shared" si="198"/>
        <v>293.33333333333678</v>
      </c>
      <c r="EO200" s="59">
        <f ca="1">AVERAGE(OFFSET($EN$3,0,0,'Données projet'!$E$15+1,1))-AVERAGE(OFFSET($H$3,0,0,'Données projet'!$E$15+1,1))</f>
        <v>313.36787814924116</v>
      </c>
      <c r="EP200" s="59">
        <f t="shared" si="210"/>
        <v>438.72984487610216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16.091235017108442</v>
      </c>
      <c r="EW200" s="21">
        <f>EXP(-LN(2)/25)*EW199+(1-EXP(-LN(2)/25))/(LN(2)/25)*Calculateur!ER200*Calculateur!ET200*VLOOKUP('Données projet'!$B$15,Paramètres!$A$1:$I$89,3,0)*0.475*44/12</f>
        <v>1.0606419092185366</v>
      </c>
      <c r="EX200" s="21">
        <f>EXP(-LN(2)/2)*EX199+(1-EXP(-LN(2)/2))/(LN(2)/2)*ER200*EU200*VLOOKUP('Données projet'!$B$15,Paramètres!$A$1:$I$89,3,0)*0.475*44/12</f>
        <v>2.8396284874230993E-21</v>
      </c>
      <c r="EY200" s="22">
        <f t="shared" si="181"/>
        <v>17.151876926326977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-5.6843418860808015E-14</v>
      </c>
      <c r="O201" s="13">
        <f>N201*VLOOKUP('Données projet'!$B$9,Paramètres!$A$1:$I$89,3,0)*VLOOKUP('Données projet'!$B$9,Paramètres!$A$1:$I$89,5,0)</f>
        <v>-5.1431925385259088E-14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173.91998182168385</v>
      </c>
      <c r="T201" s="59">
        <f t="shared" si="204"/>
        <v>72.011647893875363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19.643440296465492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19.643440296465492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-2.8421709430404007E-14</v>
      </c>
      <c r="AJ201" s="13">
        <f>AI201*VLOOKUP('Données projet'!$B$10,Paramètres!$A$1:$I$89,3,0)*VLOOKUP('Données projet'!$B$10,Paramètres!$A$1:$I$89,5,0)</f>
        <v>-3.0593128030886874E-14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150.9416300233616</v>
      </c>
      <c r="AO201" s="59">
        <f t="shared" si="205"/>
        <v>92.286636088269972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9.5488240409366103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9.5488240409366103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-2.8421709430404007E-14</v>
      </c>
      <c r="BE201" s="13">
        <f>BD201*VLOOKUP('Données projet'!$B$11,Paramètres!$A$1:$I$89,3,0)*VLOOKUP('Données projet'!$B$11,Paramètres!$A$1:$I$89,5,0)</f>
        <v>-2.7489477361086758E-14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131.02416800340484</v>
      </c>
      <c r="BJ201" s="59">
        <f t="shared" si="206"/>
        <v>79.394119001888555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8.5801027614212995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8.5801027614212995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-2.8421709430404007E-14</v>
      </c>
      <c r="BZ201" s="13">
        <f>BY201*VLOOKUP('Données projet'!$B$12,Paramètres!$A$1:$I$89,3,0)*VLOOKUP('Données projet'!$B$12,Paramètres!$A$1:$I$89,5,0)</f>
        <v>-2.5715962692629544E-14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119.62076457560073</v>
      </c>
      <c r="CE201" s="59">
        <f t="shared" si="207"/>
        <v>72.011647893875363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8.026547744555403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8.026547744555403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-2.8421709430404007E-14</v>
      </c>
      <c r="CU201" s="17">
        <f>CT201*VLOOKUP('Données projet'!$B$13,Paramètres!$A$1:$I$89,3,0)*VLOOKUP('Données projet'!$B$13,Paramètres!$A$1:$I$89,5,0)</f>
        <v>-3.0593128030886874E-14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150.9416300233616</v>
      </c>
      <c r="CZ201" s="59">
        <f t="shared" si="208"/>
        <v>92.286636088269972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9.5488240409366103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9.5488240409366103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439.99999999999943</v>
      </c>
      <c r="DP201" s="17">
        <f>DO201*VLOOKUP('Données projet'!$B$14,Paramètres!$A$1:$I$89,3,0)*VLOOKUP('Données projet'!$B$14,Paramètres!$A$1:$I$89,5,0)</f>
        <v>263.11999999999966</v>
      </c>
      <c r="DQ201" s="13">
        <f t="shared" si="176"/>
        <v>63.386973458751953</v>
      </c>
      <c r="DR201" s="20">
        <f t="shared" si="177"/>
        <v>568.66631210732578</v>
      </c>
      <c r="DS201" s="59">
        <f t="shared" si="197"/>
        <v>861.99964544065915</v>
      </c>
      <c r="DT201" s="59">
        <f ca="1">AVERAGE(OFFSET($DS$3,0,0,'Données projet'!$E$14+1,1))-AVERAGE(OFFSET($H$3,0,0,'Données projet'!$E$14+1,1))</f>
        <v>249.22792522076639</v>
      </c>
      <c r="DU201" s="59">
        <f t="shared" si="209"/>
        <v>244.53725944480669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3.7875316422613841</v>
      </c>
      <c r="EB201" s="21">
        <f>EXP(-LN(2)/25)*EB200+(1-EXP(-LN(2)/25))/(LN(2)/25)*Calculateur!DW201*Calculateur!DY201*VLOOKUP('Données projet'!$B$14,Paramètres!$A$1:$I$89,3,0)*0.475*44/12</f>
        <v>0.48461589903278157</v>
      </c>
      <c r="EC201" s="21">
        <f>EXP(-LN(2)/2)*EC200+(1-EXP(-LN(2)/2))/(LN(2)/2)*DW201*DZ201*VLOOKUP('Données projet'!$B$14,Paramètres!$A$1:$I$89,3,0)*0.475*44/12</f>
        <v>1.0050817315430511E-19</v>
      </c>
      <c r="ED201" s="22">
        <f t="shared" si="178"/>
        <v>4.2721475412941654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2.2737367544323206E-13</v>
      </c>
      <c r="EK201" s="17">
        <f>EJ201*VLOOKUP('Données projet'!$B$15,Paramètres!$A$1:$I$89,3,0)*VLOOKUP('Données projet'!$B$15,Paramètres!$A$1:$I$89,5,0)</f>
        <v>1.2710188457276673E-13</v>
      </c>
      <c r="EL201" s="13">
        <f t="shared" si="179"/>
        <v>1.856866851063998E-12</v>
      </c>
      <c r="EM201" s="20">
        <f t="shared" si="180"/>
        <v>3.4554122145673649E-12</v>
      </c>
      <c r="EN201" s="59">
        <f t="shared" si="198"/>
        <v>293.33333333333678</v>
      </c>
      <c r="EO201" s="59">
        <f ca="1">AVERAGE(OFFSET($EN$3,0,0,'Données projet'!$E$15+1,1))-AVERAGE(OFFSET($H$3,0,0,'Données projet'!$E$15+1,1))</f>
        <v>313.36787814924116</v>
      </c>
      <c r="EP201" s="59">
        <f t="shared" si="210"/>
        <v>438.72984487610216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15.775695713107186</v>
      </c>
      <c r="EW201" s="21">
        <f>EXP(-LN(2)/25)*EW200+(1-EXP(-LN(2)/25))/(LN(2)/25)*Calculateur!ER201*Calculateur!ET201*VLOOKUP('Données projet'!$B$15,Paramètres!$A$1:$I$89,3,0)*0.475*44/12</f>
        <v>1.031638600434222</v>
      </c>
      <c r="EX201" s="21">
        <f>EXP(-LN(2)/2)*EX200+(1-EXP(-LN(2)/2))/(LN(2)/2)*ER201*EU201*VLOOKUP('Données projet'!$B$15,Paramètres!$A$1:$I$89,3,0)*0.475*44/12</f>
        <v>2.0079205595073724E-21</v>
      </c>
      <c r="EY201" s="22">
        <f t="shared" si="181"/>
        <v>16.807334313541407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-5.6843418860808015E-14</v>
      </c>
      <c r="O202" s="13">
        <f>N202*VLOOKUP('Données projet'!$B$9,Paramètres!$A$1:$I$89,3,0)*VLOOKUP('Données projet'!$B$9,Paramètres!$A$1:$I$89,5,0)</f>
        <v>-5.1431925385259088E-14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173.91998182168385</v>
      </c>
      <c r="T202" s="59">
        <f t="shared" si="204"/>
        <v>72.011647893875363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19.258244413567329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19.258244413567329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-2.8421709430404007E-14</v>
      </c>
      <c r="AJ202" s="13">
        <f>AI202*VLOOKUP('Données projet'!$B$10,Paramètres!$A$1:$I$89,3,0)*VLOOKUP('Données projet'!$B$10,Paramètres!$A$1:$I$89,5,0)</f>
        <v>-3.0593128030886874E-14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150.9416300233616</v>
      </c>
      <c r="AO202" s="59">
        <f t="shared" si="205"/>
        <v>92.286636088269972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9.3615774257014159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9.3615774257014159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-2.8421709430404007E-14</v>
      </c>
      <c r="BE202" s="13">
        <f>BD202*VLOOKUP('Données projet'!$B$11,Paramètres!$A$1:$I$89,3,0)*VLOOKUP('Données projet'!$B$11,Paramètres!$A$1:$I$89,5,0)</f>
        <v>-2.7489477361086758E-14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131.02416800340484</v>
      </c>
      <c r="BJ202" s="59">
        <f t="shared" si="206"/>
        <v>79.394119001888555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8.4118521796157619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8.4118521796157619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-2.8421709430404007E-14</v>
      </c>
      <c r="BZ202" s="13">
        <f>BY202*VLOOKUP('Données projet'!$B$12,Paramètres!$A$1:$I$89,3,0)*VLOOKUP('Données projet'!$B$12,Paramètres!$A$1:$I$89,5,0)</f>
        <v>-2.5715962692629544E-14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119.62076457560073</v>
      </c>
      <c r="CE202" s="59">
        <f t="shared" si="207"/>
        <v>72.011647893875363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7.8691520389953844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7.8691520389953844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-2.8421709430404007E-14</v>
      </c>
      <c r="CU202" s="17">
        <f>CT202*VLOOKUP('Données projet'!$B$13,Paramètres!$A$1:$I$89,3,0)*VLOOKUP('Données projet'!$B$13,Paramètres!$A$1:$I$89,5,0)</f>
        <v>-3.0593128030886874E-14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150.9416300233616</v>
      </c>
      <c r="CZ202" s="59">
        <f t="shared" si="208"/>
        <v>92.286636088269972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9.3615774257014159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9.3615774257014159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439.99999999999943</v>
      </c>
      <c r="DP202" s="17">
        <f>DO202*VLOOKUP('Données projet'!$B$14,Paramètres!$A$1:$I$89,3,0)*VLOOKUP('Données projet'!$B$14,Paramètres!$A$1:$I$89,5,0)</f>
        <v>263.11999999999966</v>
      </c>
      <c r="DQ202" s="13">
        <f t="shared" si="176"/>
        <v>63.386973458751953</v>
      </c>
      <c r="DR202" s="20">
        <f t="shared" si="177"/>
        <v>568.66631210732578</v>
      </c>
      <c r="DS202" s="59">
        <f t="shared" si="197"/>
        <v>861.99964544065915</v>
      </c>
      <c r="DT202" s="59">
        <f ca="1">AVERAGE(OFFSET($DS$3,0,0,'Données projet'!$E$14+1,1))-AVERAGE(OFFSET($H$3,0,0,'Données projet'!$E$14+1,1))</f>
        <v>249.22792522076639</v>
      </c>
      <c r="DU202" s="59">
        <f t="shared" si="209"/>
        <v>244.53725944480669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3.7132604569228302</v>
      </c>
      <c r="EB202" s="21">
        <f>EXP(-LN(2)/25)*EB201+(1-EXP(-LN(2)/25))/(LN(2)/25)*Calculateur!DW202*Calculateur!DY202*VLOOKUP('Données projet'!$B$14,Paramètres!$A$1:$I$89,3,0)*0.475*44/12</f>
        <v>0.47136405178888763</v>
      </c>
      <c r="EC202" s="21">
        <f>EXP(-LN(2)/2)*EC201+(1-EXP(-LN(2)/2))/(LN(2)/2)*DW202*DZ202*VLOOKUP('Données projet'!$B$14,Paramètres!$A$1:$I$89,3,0)*0.475*44/12</f>
        <v>7.1070010802080855E-20</v>
      </c>
      <c r="ED202" s="22">
        <f t="shared" si="178"/>
        <v>4.1846245087117175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2.2737367544323206E-13</v>
      </c>
      <c r="EK202" s="17">
        <f>EJ202*VLOOKUP('Données projet'!$B$15,Paramètres!$A$1:$I$89,3,0)*VLOOKUP('Données projet'!$B$15,Paramètres!$A$1:$I$89,5,0)</f>
        <v>1.2710188457276673E-13</v>
      </c>
      <c r="EL202" s="13">
        <f t="shared" si="179"/>
        <v>1.856866851063998E-12</v>
      </c>
      <c r="EM202" s="20">
        <f t="shared" si="180"/>
        <v>3.4554122145673649E-12</v>
      </c>
      <c r="EN202" s="59">
        <f t="shared" si="198"/>
        <v>293.33333333333678</v>
      </c>
      <c r="EO202" s="59">
        <f ca="1">AVERAGE(OFFSET($EN$3,0,0,'Données projet'!$E$15+1,1))-AVERAGE(OFFSET($H$3,0,0,'Données projet'!$E$15+1,1))</f>
        <v>313.36787814924116</v>
      </c>
      <c r="EP202" s="59">
        <f t="shared" si="210"/>
        <v>438.72984487610216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15.466343942397424</v>
      </c>
      <c r="EW202" s="21">
        <f>EXP(-LN(2)/25)*EW201+(1-EXP(-LN(2)/25))/(LN(2)/25)*Calculateur!ER202*Calculateur!ET202*VLOOKUP('Données projet'!$B$15,Paramètres!$A$1:$I$89,3,0)*0.475*44/12</f>
        <v>1.003428388653832</v>
      </c>
      <c r="EX202" s="21">
        <f>EXP(-LN(2)/2)*EX201+(1-EXP(-LN(2)/2))/(LN(2)/2)*ER202*EU202*VLOOKUP('Données projet'!$B$15,Paramètres!$A$1:$I$89,3,0)*0.475*44/12</f>
        <v>1.4198142437115497E-21</v>
      </c>
      <c r="EY202" s="22">
        <f t="shared" si="181"/>
        <v>16.469772331051256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6" thickBot="1" x14ac:dyDescent="0.2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-5.6843418860808015E-14</v>
      </c>
      <c r="O203" s="13">
        <f>N203*VLOOKUP('Données projet'!$B$9,Paramètres!$A$1:$I$89,3,0)*VLOOKUP('Données projet'!$B$9,Paramètres!$A$1:$I$89,5,0)</f>
        <v>-5.1431925385259088E-14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173.91998182168385</v>
      </c>
      <c r="T203" s="59">
        <f t="shared" si="204"/>
        <v>72.011647893875363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18.880601986986509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18.880601986986509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-2.8421709430404007E-14</v>
      </c>
      <c r="AJ203" s="13">
        <f>AI203*VLOOKUP('Données projet'!$B$10,Paramètres!$A$1:$I$89,3,0)*VLOOKUP('Données projet'!$B$10,Paramètres!$A$1:$I$89,5,0)</f>
        <v>-3.0593128030886874E-14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150.9416300233616</v>
      </c>
      <c r="AO203" s="59">
        <f t="shared" si="205"/>
        <v>92.286636088269972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9.1780026023818255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9.1780026023818255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-2.8421709430404007E-14</v>
      </c>
      <c r="BE203" s="13">
        <f>BD203*VLOOKUP('Données projet'!$B$11,Paramètres!$A$1:$I$89,3,0)*VLOOKUP('Données projet'!$B$11,Paramètres!$A$1:$I$89,5,0)</f>
        <v>-2.7489477361086758E-14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131.02416800340484</v>
      </c>
      <c r="BJ203" s="59">
        <f t="shared" si="206"/>
        <v>79.394119001888555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8.2469008890967093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8.2469008890967093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-2.8421709430404007E-14</v>
      </c>
      <c r="BZ203" s="13">
        <f>BY203*VLOOKUP('Données projet'!$B$12,Paramètres!$A$1:$I$89,3,0)*VLOOKUP('Données projet'!$B$12,Paramètres!$A$1:$I$89,5,0)</f>
        <v>-2.5715962692629544E-14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119.62076457560073</v>
      </c>
      <c r="CE203" s="59">
        <f t="shared" si="207"/>
        <v>72.011647893875363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7.7148427672194968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7.7148427672194968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-2.8421709430404007E-14</v>
      </c>
      <c r="CU203" s="17">
        <f>CT203*VLOOKUP('Données projet'!$B$13,Paramètres!$A$1:$I$89,3,0)*VLOOKUP('Données projet'!$B$13,Paramètres!$A$1:$I$89,5,0)</f>
        <v>-3.0593128030886874E-14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150.9416300233616</v>
      </c>
      <c r="CZ203" s="59">
        <f t="shared" si="208"/>
        <v>92.286636088269972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9.1780026023818255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9.1780026023818255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439.99999999999943</v>
      </c>
      <c r="DP203" s="17">
        <f>DO203*VLOOKUP('Données projet'!$B$14,Paramètres!$A$1:$I$89,3,0)*VLOOKUP('Données projet'!$B$14,Paramètres!$A$1:$I$89,5,0)</f>
        <v>263.11999999999966</v>
      </c>
      <c r="DQ203" s="13">
        <f t="shared" si="176"/>
        <v>63.386973458751953</v>
      </c>
      <c r="DR203" s="20">
        <f t="shared" si="177"/>
        <v>568.66631210732578</v>
      </c>
      <c r="DS203" s="59">
        <f t="shared" si="197"/>
        <v>861.99964544065915</v>
      </c>
      <c r="DT203" s="59">
        <f ca="1">AVERAGE(OFFSET($DS$3,0,0,'Données projet'!$E$14+1,1))-AVERAGE(OFFSET($H$3,0,0,'Données projet'!$E$14+1,1))</f>
        <v>249.22792522076639</v>
      </c>
      <c r="DU203" s="59">
        <f t="shared" si="209"/>
        <v>244.53725944480669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3.6404456842278154</v>
      </c>
      <c r="EB203" s="21">
        <f>EXP(-LN(2)/25)*EB202+(1-EXP(-LN(2)/25))/(LN(2)/25)*Calculateur!DW203*Calculateur!DY203*VLOOKUP('Données projet'!$B$14,Paramètres!$A$1:$I$89,3,0)*0.475*44/12</f>
        <v>0.45847457700476235</v>
      </c>
      <c r="EC203" s="21">
        <f>EXP(-LN(2)/2)*EC202+(1-EXP(-LN(2)/2))/(LN(2)/2)*DW203*DZ203*VLOOKUP('Données projet'!$B$14,Paramètres!$A$1:$I$89,3,0)*0.475*44/12</f>
        <v>5.0254086577152557E-20</v>
      </c>
      <c r="ED203" s="22">
        <f t="shared" si="178"/>
        <v>4.0989202612325775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2.2737367544323206E-13</v>
      </c>
      <c r="EK203" s="17">
        <f>EJ203*VLOOKUP('Données projet'!$B$15,Paramètres!$A$1:$I$89,3,0)*VLOOKUP('Données projet'!$B$15,Paramètres!$A$1:$I$89,5,0)</f>
        <v>1.2710188457276673E-13</v>
      </c>
      <c r="EL203" s="13">
        <f t="shared" si="179"/>
        <v>1.856866851063998E-12</v>
      </c>
      <c r="EM203" s="20">
        <f t="shared" si="180"/>
        <v>3.4554122145673649E-12</v>
      </c>
      <c r="EN203" s="59">
        <f t="shared" si="198"/>
        <v>293.33333333333678</v>
      </c>
      <c r="EO203" s="59">
        <f ca="1">AVERAGE(OFFSET($EN$3,0,0,'Données projet'!$E$15+1,1))-AVERAGE(OFFSET($H$3,0,0,'Données projet'!$E$15+1,1))</f>
        <v>313.36787814924116</v>
      </c>
      <c r="EP203" s="59">
        <f t="shared" si="210"/>
        <v>438.72984487610216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15.163058371225331</v>
      </c>
      <c r="EW203" s="21">
        <f>EXP(-LN(2)/25)*EW202+(1-EXP(-LN(2)/25))/(LN(2)/25)*Calculateur!ER203*Calculateur!ET203*VLOOKUP('Données projet'!$B$15,Paramètres!$A$1:$I$89,3,0)*0.475*44/12</f>
        <v>0.97598958659808732</v>
      </c>
      <c r="EX203" s="21">
        <f>EXP(-LN(2)/2)*EX202+(1-EXP(-LN(2)/2))/(LN(2)/2)*ER203*EU203*VLOOKUP('Données projet'!$B$15,Paramètres!$A$1:$I$89,3,0)*0.475*44/12</f>
        <v>1.0039602797536862E-21</v>
      </c>
      <c r="EY203" s="22">
        <f t="shared" si="181"/>
        <v>16.139047957823418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7" thickBot="1" x14ac:dyDescent="0.2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6" thickBot="1" x14ac:dyDescent="0.2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1.1457367676485573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1.1457367676485573</v>
      </c>
      <c r="BA205" s="82">
        <f>EXP(LN('Données projet'!B88)/'Données projet'!A88)</f>
        <v>1.1457367676485573</v>
      </c>
      <c r="BV205" s="82">
        <f>EXP(LN('Données projet'!B114)/'Données projet'!A114)</f>
        <v>1.1457367676485573</v>
      </c>
      <c r="CQ205" s="82">
        <f>EXP(LN('Données projet'!B140)/'Données projet'!A140)</f>
        <v>1.1457367676485573</v>
      </c>
      <c r="DL205" s="82">
        <f>EXP(LN('Données projet'!B166)/'Données projet'!A166)</f>
        <v>1.3093577517960842</v>
      </c>
      <c r="EG205" s="82">
        <f>EXP(LN('Données projet'!B192)/'Données projet'!A192)</f>
        <v>1.466478780211681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4" bestFit="1" customWidth="1"/>
    <col min="2" max="2" width="27.6640625" style="4" bestFit="1" customWidth="1"/>
    <col min="3" max="3" width="11.83203125" style="4" bestFit="1" customWidth="1"/>
    <col min="4" max="4" width="40" style="4" bestFit="1" customWidth="1"/>
    <col min="5" max="5" width="11.83203125" style="4" bestFit="1" customWidth="1"/>
    <col min="6" max="6" width="13.6640625" style="4" bestFit="1" customWidth="1"/>
    <col min="7" max="7" width="11.5" style="4" bestFit="1" customWidth="1"/>
    <col min="8" max="8" width="39" style="4" bestFit="1" customWidth="1"/>
    <col min="9" max="9" width="16.6640625" style="4" customWidth="1"/>
    <col min="10" max="14" width="11.5" style="4"/>
    <col min="15" max="15" width="23.5" style="4" bestFit="1" customWidth="1"/>
    <col min="16" max="16384" width="11.5" style="4"/>
  </cols>
  <sheetData>
    <row r="1" spans="1:16" ht="49" thickBot="1" x14ac:dyDescent="0.25">
      <c r="A1" s="110" t="s">
        <v>0</v>
      </c>
      <c r="B1" s="111" t="s">
        <v>106</v>
      </c>
      <c r="C1" s="112" t="s">
        <v>144</v>
      </c>
      <c r="D1" s="111" t="s">
        <v>100</v>
      </c>
      <c r="E1" s="112" t="s">
        <v>145</v>
      </c>
      <c r="F1" s="112" t="s">
        <v>100</v>
      </c>
      <c r="G1" s="112" t="s">
        <v>146</v>
      </c>
      <c r="H1" s="112" t="s">
        <v>100</v>
      </c>
      <c r="I1" s="113" t="s">
        <v>147</v>
      </c>
      <c r="J1" s="78"/>
      <c r="K1" s="78"/>
      <c r="L1" s="78"/>
      <c r="M1" s="78"/>
      <c r="N1" s="78"/>
    </row>
    <row r="2" spans="1:16" x14ac:dyDescent="0.2">
      <c r="A2" s="114" t="s">
        <v>1</v>
      </c>
      <c r="B2" s="115" t="s">
        <v>53</v>
      </c>
      <c r="C2" s="116">
        <v>0.62</v>
      </c>
      <c r="D2" s="116" t="s">
        <v>161</v>
      </c>
      <c r="E2" s="116">
        <v>1.56</v>
      </c>
      <c r="F2" s="116" t="s">
        <v>274</v>
      </c>
      <c r="G2" s="117">
        <v>0.43</v>
      </c>
      <c r="H2" s="118" t="s">
        <v>278</v>
      </c>
      <c r="I2" s="119">
        <v>0.25</v>
      </c>
      <c r="J2" s="78"/>
      <c r="K2" s="78"/>
      <c r="L2" s="78"/>
      <c r="M2" s="78"/>
      <c r="N2" s="78"/>
      <c r="O2" s="282" t="s">
        <v>238</v>
      </c>
      <c r="P2" s="120">
        <v>0</v>
      </c>
    </row>
    <row r="3" spans="1:16" ht="16" thickBot="1" x14ac:dyDescent="0.25">
      <c r="A3" s="121" t="s">
        <v>2</v>
      </c>
      <c r="B3" s="122" t="s">
        <v>54</v>
      </c>
      <c r="C3" s="123">
        <v>0.64</v>
      </c>
      <c r="D3" s="123" t="s">
        <v>161</v>
      </c>
      <c r="E3" s="123">
        <v>1.56</v>
      </c>
      <c r="F3" s="124" t="s">
        <v>274</v>
      </c>
      <c r="G3" s="125">
        <v>0.43</v>
      </c>
      <c r="H3" s="123" t="s">
        <v>278</v>
      </c>
      <c r="I3" s="126">
        <v>0.25</v>
      </c>
      <c r="J3" s="78"/>
      <c r="K3" s="78"/>
      <c r="L3" s="78"/>
      <c r="M3" s="78"/>
      <c r="N3" s="78"/>
      <c r="O3" s="283"/>
      <c r="P3" s="127">
        <v>0.2</v>
      </c>
    </row>
    <row r="4" spans="1:16" ht="16" thickBot="1" x14ac:dyDescent="0.25">
      <c r="A4" s="121" t="s">
        <v>98</v>
      </c>
      <c r="B4" s="122" t="s">
        <v>99</v>
      </c>
      <c r="C4" s="123">
        <v>0.42</v>
      </c>
      <c r="D4" s="123" t="s">
        <v>161</v>
      </c>
      <c r="E4" s="123">
        <v>1.56</v>
      </c>
      <c r="F4" s="124" t="s">
        <v>274</v>
      </c>
      <c r="G4" s="125">
        <v>0.43</v>
      </c>
      <c r="H4" s="123" t="s">
        <v>278</v>
      </c>
      <c r="I4" s="126">
        <v>0.25</v>
      </c>
      <c r="J4" s="78"/>
      <c r="K4" s="78"/>
      <c r="L4" s="78"/>
      <c r="M4" s="78"/>
      <c r="N4" s="78"/>
    </row>
    <row r="5" spans="1:16" x14ac:dyDescent="0.2">
      <c r="A5" s="121" t="s">
        <v>4</v>
      </c>
      <c r="B5" s="122" t="s">
        <v>55</v>
      </c>
      <c r="C5" s="123">
        <v>0.42</v>
      </c>
      <c r="D5" s="123" t="s">
        <v>161</v>
      </c>
      <c r="E5" s="123">
        <v>1.56</v>
      </c>
      <c r="F5" s="124" t="s">
        <v>274</v>
      </c>
      <c r="G5" s="125">
        <v>0.43</v>
      </c>
      <c r="H5" s="123" t="s">
        <v>278</v>
      </c>
      <c r="I5" s="126">
        <v>0.25</v>
      </c>
      <c r="J5" s="78"/>
      <c r="K5" s="78"/>
      <c r="L5" s="78"/>
      <c r="M5" s="78"/>
      <c r="N5" s="78"/>
      <c r="O5" s="282" t="s">
        <v>237</v>
      </c>
      <c r="P5" s="120">
        <v>0</v>
      </c>
    </row>
    <row r="6" spans="1:16" x14ac:dyDescent="0.2">
      <c r="A6" s="121" t="s">
        <v>3</v>
      </c>
      <c r="B6" s="122" t="s">
        <v>97</v>
      </c>
      <c r="C6" s="123">
        <v>0.42</v>
      </c>
      <c r="D6" s="123" t="s">
        <v>161</v>
      </c>
      <c r="E6" s="123">
        <v>1.56</v>
      </c>
      <c r="F6" s="124" t="s">
        <v>274</v>
      </c>
      <c r="G6" s="125">
        <v>0.43</v>
      </c>
      <c r="H6" s="123" t="s">
        <v>278</v>
      </c>
      <c r="I6" s="126">
        <v>0.25</v>
      </c>
      <c r="J6" s="78"/>
      <c r="K6" s="78"/>
      <c r="L6" s="78"/>
      <c r="M6" s="78"/>
      <c r="N6" s="78"/>
      <c r="O6" s="284"/>
      <c r="P6" s="128">
        <v>0.05</v>
      </c>
    </row>
    <row r="7" spans="1:16" x14ac:dyDescent="0.2">
      <c r="A7" s="121" t="s">
        <v>5</v>
      </c>
      <c r="B7" s="122" t="s">
        <v>56</v>
      </c>
      <c r="C7" s="123">
        <v>0.52</v>
      </c>
      <c r="D7" s="123" t="s">
        <v>161</v>
      </c>
      <c r="E7" s="123">
        <v>1.56</v>
      </c>
      <c r="F7" s="124" t="s">
        <v>274</v>
      </c>
      <c r="G7" s="125">
        <v>0.43</v>
      </c>
      <c r="H7" s="123" t="s">
        <v>278</v>
      </c>
      <c r="I7" s="126">
        <v>0.25</v>
      </c>
      <c r="J7" s="78"/>
      <c r="K7" s="78"/>
      <c r="L7" s="78"/>
      <c r="M7" s="78"/>
      <c r="N7" s="78"/>
      <c r="O7" s="284"/>
      <c r="P7" s="128">
        <v>0.1</v>
      </c>
    </row>
    <row r="8" spans="1:16" ht="16" thickBot="1" x14ac:dyDescent="0.25">
      <c r="A8" s="121" t="s">
        <v>164</v>
      </c>
      <c r="B8" s="122" t="s">
        <v>57</v>
      </c>
      <c r="C8" s="123">
        <v>0.36</v>
      </c>
      <c r="D8" s="123" t="s">
        <v>161</v>
      </c>
      <c r="E8" s="123">
        <v>1.3</v>
      </c>
      <c r="F8" s="124" t="s">
        <v>274</v>
      </c>
      <c r="G8" s="125">
        <v>0.55000000000000004</v>
      </c>
      <c r="H8" s="123" t="s">
        <v>153</v>
      </c>
      <c r="I8" s="126">
        <v>0.43</v>
      </c>
      <c r="J8" s="78"/>
      <c r="K8" s="78"/>
      <c r="L8" s="78"/>
      <c r="M8" s="78"/>
      <c r="N8" s="78"/>
      <c r="O8" s="283"/>
      <c r="P8" s="127">
        <v>0.15</v>
      </c>
    </row>
    <row r="9" spans="1:16" ht="16" thickBot="1" x14ac:dyDescent="0.25">
      <c r="A9" s="121" t="s">
        <v>6</v>
      </c>
      <c r="B9" s="122" t="s">
        <v>58</v>
      </c>
      <c r="C9" s="123">
        <v>0.61</v>
      </c>
      <c r="D9" s="123" t="s">
        <v>161</v>
      </c>
      <c r="E9" s="123">
        <v>1.56</v>
      </c>
      <c r="F9" s="124" t="s">
        <v>274</v>
      </c>
      <c r="G9" s="125">
        <v>0.43</v>
      </c>
      <c r="H9" s="123" t="s">
        <v>278</v>
      </c>
      <c r="I9" s="126">
        <v>0.25</v>
      </c>
      <c r="J9" s="78"/>
      <c r="K9" s="78"/>
      <c r="L9" s="78"/>
      <c r="M9" s="78"/>
      <c r="N9" s="78"/>
    </row>
    <row r="10" spans="1:16" x14ac:dyDescent="0.2">
      <c r="A10" s="121" t="s">
        <v>7</v>
      </c>
      <c r="B10" s="122" t="s">
        <v>59</v>
      </c>
      <c r="C10" s="123">
        <v>0.66</v>
      </c>
      <c r="D10" s="123" t="s">
        <v>161</v>
      </c>
      <c r="E10" s="123">
        <v>1.56</v>
      </c>
      <c r="F10" s="124" t="s">
        <v>274</v>
      </c>
      <c r="G10" s="125">
        <v>0.43</v>
      </c>
      <c r="H10" s="123" t="s">
        <v>278</v>
      </c>
      <c r="I10" s="126">
        <v>0.25</v>
      </c>
      <c r="J10" s="78"/>
      <c r="K10" s="78"/>
      <c r="L10" s="78"/>
      <c r="M10" s="78"/>
      <c r="N10" s="78"/>
      <c r="O10" s="282" t="s">
        <v>236</v>
      </c>
      <c r="P10" s="120">
        <v>0</v>
      </c>
    </row>
    <row r="11" spans="1:16" ht="16" thickBot="1" x14ac:dyDescent="0.25">
      <c r="A11" s="121" t="s">
        <v>8</v>
      </c>
      <c r="B11" s="122" t="s">
        <v>60</v>
      </c>
      <c r="C11" s="123">
        <v>0.47</v>
      </c>
      <c r="D11" s="123" t="s">
        <v>161</v>
      </c>
      <c r="E11" s="123">
        <v>1.56</v>
      </c>
      <c r="F11" s="124" t="s">
        <v>274</v>
      </c>
      <c r="G11" s="125">
        <v>0.43</v>
      </c>
      <c r="H11" s="123" t="s">
        <v>278</v>
      </c>
      <c r="I11" s="126">
        <v>0.25</v>
      </c>
      <c r="J11" s="78"/>
      <c r="K11" s="78"/>
      <c r="L11" s="78"/>
      <c r="M11" s="78"/>
      <c r="N11" s="78"/>
      <c r="O11" s="283"/>
      <c r="P11" s="127">
        <v>0.1</v>
      </c>
    </row>
    <row r="12" spans="1:16" x14ac:dyDescent="0.2">
      <c r="A12" s="121" t="s">
        <v>9</v>
      </c>
      <c r="B12" s="122" t="s">
        <v>61</v>
      </c>
      <c r="C12" s="123">
        <v>0.67</v>
      </c>
      <c r="D12" s="123" t="s">
        <v>161</v>
      </c>
      <c r="E12" s="123">
        <v>1.56</v>
      </c>
      <c r="F12" s="124" t="s">
        <v>274</v>
      </c>
      <c r="G12" s="125">
        <v>0.43</v>
      </c>
      <c r="H12" s="123" t="s">
        <v>152</v>
      </c>
      <c r="I12" s="126">
        <v>0.25</v>
      </c>
      <c r="J12" s="78"/>
      <c r="K12" s="78"/>
      <c r="L12" s="78"/>
      <c r="M12" s="78"/>
      <c r="N12" s="78"/>
    </row>
    <row r="13" spans="1:16" x14ac:dyDescent="0.2">
      <c r="A13" s="121" t="s">
        <v>10</v>
      </c>
      <c r="B13" s="122" t="s">
        <v>62</v>
      </c>
      <c r="C13" s="123">
        <v>0.7</v>
      </c>
      <c r="D13" s="123" t="s">
        <v>161</v>
      </c>
      <c r="E13" s="123">
        <v>1.56</v>
      </c>
      <c r="F13" s="124" t="s">
        <v>274</v>
      </c>
      <c r="G13" s="125">
        <v>0.43</v>
      </c>
      <c r="H13" s="123" t="s">
        <v>152</v>
      </c>
      <c r="I13" s="126">
        <v>0.25</v>
      </c>
      <c r="J13" s="78"/>
      <c r="K13" s="78"/>
      <c r="L13" s="78"/>
      <c r="M13" s="78"/>
      <c r="N13" s="78"/>
    </row>
    <row r="14" spans="1:16" x14ac:dyDescent="0.2">
      <c r="A14" s="121" t="s">
        <v>11</v>
      </c>
      <c r="B14" s="122" t="s">
        <v>63</v>
      </c>
      <c r="C14" s="123">
        <v>0.54</v>
      </c>
      <c r="D14" s="123" t="s">
        <v>161</v>
      </c>
      <c r="E14" s="123">
        <v>1.56</v>
      </c>
      <c r="F14" s="124" t="s">
        <v>274</v>
      </c>
      <c r="G14" s="125">
        <v>0.43</v>
      </c>
      <c r="H14" s="123" t="s">
        <v>152</v>
      </c>
      <c r="I14" s="126">
        <v>0.25</v>
      </c>
      <c r="J14" s="78"/>
      <c r="K14" s="78"/>
      <c r="L14" s="78"/>
      <c r="M14" s="78"/>
      <c r="N14" s="78"/>
    </row>
    <row r="15" spans="1:16" x14ac:dyDescent="0.2">
      <c r="A15" s="121" t="s">
        <v>12</v>
      </c>
      <c r="B15" s="122" t="s">
        <v>64</v>
      </c>
      <c r="C15" s="123">
        <v>0.65</v>
      </c>
      <c r="D15" s="123" t="s">
        <v>161</v>
      </c>
      <c r="E15" s="123">
        <v>1.56</v>
      </c>
      <c r="F15" s="124" t="s">
        <v>274</v>
      </c>
      <c r="G15" s="125">
        <v>0.43</v>
      </c>
      <c r="H15" s="123" t="s">
        <v>152</v>
      </c>
      <c r="I15" s="126">
        <v>0.25</v>
      </c>
      <c r="J15" s="78"/>
      <c r="K15" s="78"/>
      <c r="L15" s="78"/>
      <c r="M15" s="78"/>
      <c r="N15" s="78"/>
    </row>
    <row r="16" spans="1:16" x14ac:dyDescent="0.2">
      <c r="A16" s="121" t="s">
        <v>13</v>
      </c>
      <c r="B16" s="122" t="s">
        <v>65</v>
      </c>
      <c r="C16" s="123">
        <v>0.56000000000000005</v>
      </c>
      <c r="D16" s="123" t="s">
        <v>161</v>
      </c>
      <c r="E16" s="123">
        <v>1.56</v>
      </c>
      <c r="F16" s="124" t="s">
        <v>274</v>
      </c>
      <c r="G16" s="125">
        <v>0.43</v>
      </c>
      <c r="H16" s="123" t="s">
        <v>152</v>
      </c>
      <c r="I16" s="126">
        <v>0.25</v>
      </c>
      <c r="J16" s="78"/>
      <c r="K16" s="78"/>
      <c r="L16" s="78"/>
      <c r="M16" s="78"/>
      <c r="N16" s="78"/>
    </row>
    <row r="17" spans="1:14" x14ac:dyDescent="0.2">
      <c r="A17" s="121" t="s">
        <v>14</v>
      </c>
      <c r="B17" s="122" t="s">
        <v>66</v>
      </c>
      <c r="C17" s="123">
        <v>0.57999999999999996</v>
      </c>
      <c r="D17" s="123" t="s">
        <v>161</v>
      </c>
      <c r="E17" s="123">
        <v>1.56</v>
      </c>
      <c r="F17" s="124" t="s">
        <v>274</v>
      </c>
      <c r="G17" s="125">
        <v>0.43</v>
      </c>
      <c r="H17" s="123" t="s">
        <v>152</v>
      </c>
      <c r="I17" s="126">
        <v>0.25</v>
      </c>
      <c r="J17" s="78"/>
      <c r="K17" s="78"/>
      <c r="L17" s="78"/>
      <c r="M17" s="78"/>
      <c r="N17" s="78"/>
    </row>
    <row r="18" spans="1:14" x14ac:dyDescent="0.2">
      <c r="A18" s="121" t="s">
        <v>15</v>
      </c>
      <c r="B18" s="122" t="s">
        <v>67</v>
      </c>
      <c r="C18" s="123">
        <v>0.64</v>
      </c>
      <c r="D18" s="123" t="s">
        <v>161</v>
      </c>
      <c r="E18" s="123">
        <v>1.56</v>
      </c>
      <c r="F18" s="124" t="s">
        <v>274</v>
      </c>
      <c r="G18" s="125">
        <v>0.43</v>
      </c>
      <c r="H18" s="123" t="s">
        <v>152</v>
      </c>
      <c r="I18" s="126">
        <v>0.25</v>
      </c>
      <c r="J18" s="78"/>
      <c r="K18" s="78"/>
      <c r="L18" s="78"/>
      <c r="M18" s="78"/>
      <c r="N18" s="78"/>
    </row>
    <row r="19" spans="1:14" x14ac:dyDescent="0.2">
      <c r="A19" s="121" t="s">
        <v>16</v>
      </c>
      <c r="B19" s="122" t="s">
        <v>68</v>
      </c>
      <c r="C19" s="123">
        <v>0.73</v>
      </c>
      <c r="D19" s="123" t="s">
        <v>161</v>
      </c>
      <c r="E19" s="123">
        <v>1.56</v>
      </c>
      <c r="F19" s="124" t="s">
        <v>274</v>
      </c>
      <c r="G19" s="125">
        <v>0.43</v>
      </c>
      <c r="H19" s="123" t="s">
        <v>152</v>
      </c>
      <c r="I19" s="126">
        <v>0.25</v>
      </c>
      <c r="J19" s="78"/>
      <c r="K19" s="78"/>
      <c r="L19" s="78"/>
      <c r="M19" s="78"/>
      <c r="N19" s="78"/>
    </row>
    <row r="20" spans="1:14" x14ac:dyDescent="0.2">
      <c r="A20" s="121" t="s">
        <v>52</v>
      </c>
      <c r="B20" s="122" t="s">
        <v>69</v>
      </c>
      <c r="C20" s="123">
        <v>0.69</v>
      </c>
      <c r="D20" s="123" t="s">
        <v>131</v>
      </c>
      <c r="E20" s="123">
        <v>1.56</v>
      </c>
      <c r="F20" s="124" t="s">
        <v>274</v>
      </c>
      <c r="G20" s="125">
        <v>0.43</v>
      </c>
      <c r="H20" s="123" t="s">
        <v>282</v>
      </c>
      <c r="I20" s="126">
        <v>0.25</v>
      </c>
      <c r="J20" s="78"/>
      <c r="K20" s="78"/>
      <c r="L20" s="78"/>
      <c r="M20" s="78"/>
      <c r="N20" s="78"/>
    </row>
    <row r="21" spans="1:14" x14ac:dyDescent="0.2">
      <c r="A21" s="121" t="s">
        <v>154</v>
      </c>
      <c r="B21" s="122" t="s">
        <v>155</v>
      </c>
      <c r="C21" s="123">
        <v>0.36</v>
      </c>
      <c r="D21" s="123" t="s">
        <v>161</v>
      </c>
      <c r="E21" s="123">
        <v>1.3</v>
      </c>
      <c r="F21" s="124" t="s">
        <v>274</v>
      </c>
      <c r="G21" s="125">
        <v>0.55000000000000004</v>
      </c>
      <c r="H21" s="123" t="s">
        <v>153</v>
      </c>
      <c r="I21" s="126">
        <v>0.43</v>
      </c>
      <c r="J21" s="78"/>
      <c r="K21" s="78"/>
      <c r="L21" s="78"/>
      <c r="M21" s="78"/>
      <c r="N21" s="78"/>
    </row>
    <row r="22" spans="1:14" x14ac:dyDescent="0.2">
      <c r="A22" s="121" t="s">
        <v>17</v>
      </c>
      <c r="B22" s="122" t="s">
        <v>70</v>
      </c>
      <c r="C22" s="123">
        <v>0.4</v>
      </c>
      <c r="D22" s="123" t="s">
        <v>161</v>
      </c>
      <c r="E22" s="123">
        <v>1.3</v>
      </c>
      <c r="F22" s="124" t="s">
        <v>274</v>
      </c>
      <c r="G22" s="125">
        <v>0.55000000000000004</v>
      </c>
      <c r="H22" s="123" t="s">
        <v>153</v>
      </c>
      <c r="I22" s="126">
        <v>0.43</v>
      </c>
      <c r="J22" s="78"/>
      <c r="K22" s="78"/>
      <c r="L22" s="78"/>
      <c r="M22" s="78"/>
      <c r="N22" s="78"/>
    </row>
    <row r="23" spans="1:14" x14ac:dyDescent="0.2">
      <c r="A23" s="121" t="s">
        <v>18</v>
      </c>
      <c r="B23" s="122" t="s">
        <v>71</v>
      </c>
      <c r="C23" s="123">
        <v>0.43</v>
      </c>
      <c r="D23" s="123" t="s">
        <v>161</v>
      </c>
      <c r="E23" s="123">
        <v>1.3</v>
      </c>
      <c r="F23" s="124" t="s">
        <v>274</v>
      </c>
      <c r="G23" s="125">
        <v>0.55000000000000004</v>
      </c>
      <c r="H23" s="123" t="s">
        <v>153</v>
      </c>
      <c r="I23" s="126">
        <v>0.43</v>
      </c>
      <c r="J23" s="78"/>
      <c r="K23" s="78"/>
      <c r="L23" s="78"/>
      <c r="M23" s="78"/>
      <c r="N23" s="78"/>
    </row>
    <row r="24" spans="1:14" x14ac:dyDescent="0.2">
      <c r="A24" s="121" t="s">
        <v>19</v>
      </c>
      <c r="B24" s="122" t="s">
        <v>72</v>
      </c>
      <c r="C24" s="123">
        <v>0.37</v>
      </c>
      <c r="D24" s="123" t="s">
        <v>161</v>
      </c>
      <c r="E24" s="123">
        <v>1.3</v>
      </c>
      <c r="F24" s="124" t="s">
        <v>274</v>
      </c>
      <c r="G24" s="125">
        <v>0.55000000000000004</v>
      </c>
      <c r="H24" s="123" t="s">
        <v>152</v>
      </c>
      <c r="I24" s="126">
        <v>0.43</v>
      </c>
      <c r="J24" s="78"/>
      <c r="K24" s="78"/>
      <c r="L24" s="78"/>
      <c r="M24" s="78"/>
      <c r="N24" s="78"/>
    </row>
    <row r="25" spans="1:14" x14ac:dyDescent="0.2">
      <c r="A25" s="121" t="s">
        <v>20</v>
      </c>
      <c r="B25" s="122" t="s">
        <v>73</v>
      </c>
      <c r="C25" s="123">
        <v>0.36</v>
      </c>
      <c r="D25" s="123" t="s">
        <v>161</v>
      </c>
      <c r="E25" s="123">
        <v>1.3</v>
      </c>
      <c r="F25" s="124" t="s">
        <v>274</v>
      </c>
      <c r="G25" s="125">
        <v>0.55000000000000004</v>
      </c>
      <c r="H25" s="123" t="s">
        <v>152</v>
      </c>
      <c r="I25" s="126">
        <v>0.43</v>
      </c>
      <c r="J25" s="78"/>
      <c r="K25" s="78"/>
      <c r="L25" s="78"/>
      <c r="M25" s="78"/>
      <c r="N25" s="78"/>
    </row>
    <row r="26" spans="1:14" x14ac:dyDescent="0.2">
      <c r="A26" s="121" t="s">
        <v>21</v>
      </c>
      <c r="B26" s="122" t="s">
        <v>74</v>
      </c>
      <c r="C26" s="123">
        <v>0.56000000000000005</v>
      </c>
      <c r="D26" s="123" t="s">
        <v>161</v>
      </c>
      <c r="E26" s="123">
        <v>1.56</v>
      </c>
      <c r="F26" s="124" t="s">
        <v>274</v>
      </c>
      <c r="G26" s="125">
        <v>0.53</v>
      </c>
      <c r="H26" s="123" t="s">
        <v>275</v>
      </c>
      <c r="I26" s="126">
        <v>0.25</v>
      </c>
      <c r="J26" s="78"/>
      <c r="K26" s="78"/>
      <c r="L26" s="78"/>
      <c r="M26" s="78"/>
      <c r="N26" s="78"/>
    </row>
    <row r="27" spans="1:14" x14ac:dyDescent="0.2">
      <c r="A27" s="121" t="s">
        <v>22</v>
      </c>
      <c r="B27" s="122" t="s">
        <v>75</v>
      </c>
      <c r="C27" s="123">
        <v>0.51</v>
      </c>
      <c r="D27" s="123" t="s">
        <v>161</v>
      </c>
      <c r="E27" s="123">
        <v>1.56</v>
      </c>
      <c r="F27" s="124" t="s">
        <v>274</v>
      </c>
      <c r="G27" s="125">
        <v>0.53</v>
      </c>
      <c r="H27" s="123" t="s">
        <v>275</v>
      </c>
      <c r="I27" s="126">
        <v>0.25</v>
      </c>
      <c r="J27" s="78"/>
      <c r="K27" s="78"/>
      <c r="L27" s="78"/>
      <c r="M27" s="78"/>
      <c r="N27" s="78"/>
    </row>
    <row r="28" spans="1:14" x14ac:dyDescent="0.2">
      <c r="A28" s="121" t="s">
        <v>23</v>
      </c>
      <c r="B28" s="122" t="s">
        <v>76</v>
      </c>
      <c r="C28" s="123">
        <v>0.51</v>
      </c>
      <c r="D28" s="123" t="s">
        <v>161</v>
      </c>
      <c r="E28" s="123">
        <v>1.56</v>
      </c>
      <c r="F28" s="124" t="s">
        <v>274</v>
      </c>
      <c r="G28" s="125">
        <v>0.53</v>
      </c>
      <c r="H28" s="123" t="s">
        <v>275</v>
      </c>
      <c r="I28" s="126">
        <v>0.25</v>
      </c>
      <c r="J28" s="78"/>
      <c r="K28" s="78"/>
      <c r="L28" s="78"/>
      <c r="M28" s="78"/>
      <c r="N28" s="78"/>
    </row>
    <row r="29" spans="1:14" x14ac:dyDescent="0.2">
      <c r="A29" s="121" t="s">
        <v>24</v>
      </c>
      <c r="B29" s="122" t="s">
        <v>24</v>
      </c>
      <c r="C29" s="123">
        <v>0.56000000000000005</v>
      </c>
      <c r="D29" s="123" t="s">
        <v>161</v>
      </c>
      <c r="E29" s="123">
        <v>1.56</v>
      </c>
      <c r="F29" s="124" t="s">
        <v>274</v>
      </c>
      <c r="G29" s="125">
        <v>0.53</v>
      </c>
      <c r="H29" s="123" t="s">
        <v>275</v>
      </c>
      <c r="I29" s="126">
        <v>0.25</v>
      </c>
      <c r="J29" s="78"/>
      <c r="K29" s="78"/>
      <c r="L29" s="78"/>
      <c r="M29" s="78"/>
      <c r="N29" s="78"/>
    </row>
    <row r="30" spans="1:14" x14ac:dyDescent="0.2">
      <c r="A30" s="121" t="s">
        <v>25</v>
      </c>
      <c r="B30" s="122" t="s">
        <v>77</v>
      </c>
      <c r="C30" s="123">
        <v>0.55000000000000004</v>
      </c>
      <c r="D30" s="123" t="s">
        <v>161</v>
      </c>
      <c r="E30" s="123">
        <v>1.56</v>
      </c>
      <c r="F30" s="124" t="s">
        <v>274</v>
      </c>
      <c r="G30" s="125">
        <v>0.53</v>
      </c>
      <c r="H30" s="123" t="s">
        <v>152</v>
      </c>
      <c r="I30" s="126">
        <v>0.25</v>
      </c>
      <c r="J30" s="78"/>
      <c r="K30" s="78"/>
      <c r="L30" s="78"/>
      <c r="M30" s="78"/>
      <c r="N30" s="78"/>
    </row>
    <row r="31" spans="1:14" x14ac:dyDescent="0.2">
      <c r="A31" s="121" t="s">
        <v>26</v>
      </c>
      <c r="B31" s="122" t="s">
        <v>78</v>
      </c>
      <c r="C31" s="123">
        <v>0.56000000000000005</v>
      </c>
      <c r="D31" s="123" t="s">
        <v>161</v>
      </c>
      <c r="E31" s="123">
        <v>1.56</v>
      </c>
      <c r="F31" s="124" t="s">
        <v>274</v>
      </c>
      <c r="G31" s="125">
        <v>0.43</v>
      </c>
      <c r="H31" s="123" t="s">
        <v>278</v>
      </c>
      <c r="I31" s="126">
        <v>0.25</v>
      </c>
      <c r="J31" s="78"/>
      <c r="K31" s="78"/>
      <c r="L31" s="78"/>
      <c r="M31" s="78"/>
      <c r="N31" s="78"/>
    </row>
    <row r="32" spans="1:14" x14ac:dyDescent="0.2">
      <c r="A32" s="121" t="s">
        <v>27</v>
      </c>
      <c r="B32" s="122" t="s">
        <v>79</v>
      </c>
      <c r="C32" s="123">
        <v>0.48</v>
      </c>
      <c r="D32" s="123" t="s">
        <v>161</v>
      </c>
      <c r="E32" s="123">
        <v>1.3</v>
      </c>
      <c r="F32" s="124" t="s">
        <v>274</v>
      </c>
      <c r="G32" s="125">
        <v>0.6</v>
      </c>
      <c r="H32" s="123" t="s">
        <v>281</v>
      </c>
      <c r="I32" s="126">
        <v>0.43</v>
      </c>
      <c r="J32" s="78"/>
      <c r="K32" s="78"/>
      <c r="L32" s="78"/>
      <c r="M32" s="78"/>
      <c r="N32" s="78"/>
    </row>
    <row r="33" spans="1:14" x14ac:dyDescent="0.2">
      <c r="A33" s="121" t="s">
        <v>28</v>
      </c>
      <c r="B33" s="122" t="s">
        <v>80</v>
      </c>
      <c r="C33" s="123">
        <v>0.42</v>
      </c>
      <c r="D33" s="123" t="s">
        <v>161</v>
      </c>
      <c r="E33" s="123">
        <v>1.3</v>
      </c>
      <c r="F33" s="124" t="s">
        <v>274</v>
      </c>
      <c r="G33" s="125">
        <v>0.6</v>
      </c>
      <c r="H33" s="123" t="s">
        <v>281</v>
      </c>
      <c r="I33" s="126">
        <v>0.43</v>
      </c>
      <c r="J33" s="78"/>
      <c r="K33" s="78"/>
      <c r="L33" s="78"/>
      <c r="M33" s="78"/>
      <c r="N33" s="78"/>
    </row>
    <row r="34" spans="1:14" x14ac:dyDescent="0.2">
      <c r="A34" s="121" t="s">
        <v>81</v>
      </c>
      <c r="B34" s="122" t="s">
        <v>163</v>
      </c>
      <c r="C34" s="123">
        <v>0.42</v>
      </c>
      <c r="D34" s="123" t="s">
        <v>103</v>
      </c>
      <c r="E34" s="123">
        <v>1.3</v>
      </c>
      <c r="F34" s="124" t="s">
        <v>274</v>
      </c>
      <c r="G34" s="125">
        <v>0.6</v>
      </c>
      <c r="H34" s="122" t="s">
        <v>280</v>
      </c>
      <c r="I34" s="126">
        <v>0.43</v>
      </c>
      <c r="J34" s="78"/>
      <c r="K34" s="78"/>
      <c r="L34" s="78"/>
      <c r="M34" s="78"/>
      <c r="N34" s="78"/>
    </row>
    <row r="35" spans="1:14" x14ac:dyDescent="0.2">
      <c r="A35" s="121" t="s">
        <v>29</v>
      </c>
      <c r="B35" s="122" t="s">
        <v>82</v>
      </c>
      <c r="C35" s="123">
        <v>0.5</v>
      </c>
      <c r="D35" s="123" t="s">
        <v>161</v>
      </c>
      <c r="E35" s="123">
        <v>1.56</v>
      </c>
      <c r="F35" s="124" t="s">
        <v>274</v>
      </c>
      <c r="G35" s="125">
        <v>0.43</v>
      </c>
      <c r="H35" s="123" t="s">
        <v>278</v>
      </c>
      <c r="I35" s="126">
        <v>0.25</v>
      </c>
      <c r="J35" s="78"/>
      <c r="K35" s="78"/>
      <c r="L35" s="78"/>
      <c r="M35" s="78"/>
      <c r="N35" s="78"/>
    </row>
    <row r="36" spans="1:14" x14ac:dyDescent="0.2">
      <c r="A36" s="121" t="s">
        <v>102</v>
      </c>
      <c r="B36" s="122" t="s">
        <v>101</v>
      </c>
      <c r="C36" s="123">
        <v>0.55000000000000004</v>
      </c>
      <c r="D36" s="123" t="s">
        <v>161</v>
      </c>
      <c r="E36" s="123">
        <v>1.56</v>
      </c>
      <c r="F36" s="124" t="s">
        <v>274</v>
      </c>
      <c r="G36" s="125">
        <v>0.53</v>
      </c>
      <c r="H36" s="123" t="s">
        <v>275</v>
      </c>
      <c r="I36" s="126">
        <v>0.25</v>
      </c>
      <c r="J36" s="78"/>
      <c r="K36" s="78"/>
      <c r="L36" s="78"/>
      <c r="M36" s="78"/>
      <c r="N36" s="78"/>
    </row>
    <row r="37" spans="1:14" x14ac:dyDescent="0.2">
      <c r="A37" s="121" t="s">
        <v>30</v>
      </c>
      <c r="B37" s="122" t="s">
        <v>104</v>
      </c>
      <c r="C37" s="123">
        <v>0.52</v>
      </c>
      <c r="D37" s="123" t="s">
        <v>161</v>
      </c>
      <c r="E37" s="123">
        <v>1.56</v>
      </c>
      <c r="F37" s="124" t="s">
        <v>274</v>
      </c>
      <c r="G37" s="125">
        <v>0.53</v>
      </c>
      <c r="H37" s="123" t="s">
        <v>275</v>
      </c>
      <c r="I37" s="126">
        <v>0.25</v>
      </c>
      <c r="J37" s="78"/>
      <c r="K37" s="78"/>
      <c r="L37" s="78"/>
      <c r="M37" s="78"/>
      <c r="N37" s="78"/>
    </row>
    <row r="38" spans="1:14" x14ac:dyDescent="0.2">
      <c r="A38" s="121" t="s">
        <v>31</v>
      </c>
      <c r="B38" s="122" t="s">
        <v>105</v>
      </c>
      <c r="C38" s="123">
        <v>0.52</v>
      </c>
      <c r="D38" s="123" t="s">
        <v>161</v>
      </c>
      <c r="E38" s="123">
        <v>1.56</v>
      </c>
      <c r="F38" s="124" t="s">
        <v>274</v>
      </c>
      <c r="G38" s="125">
        <v>0.43</v>
      </c>
      <c r="H38" s="123" t="s">
        <v>278</v>
      </c>
      <c r="I38" s="126">
        <v>0.25</v>
      </c>
      <c r="J38" s="78"/>
      <c r="K38" s="78"/>
      <c r="L38" s="78"/>
      <c r="M38" s="78"/>
      <c r="N38" s="78"/>
    </row>
    <row r="39" spans="1:14" x14ac:dyDescent="0.2">
      <c r="A39" s="121" t="s">
        <v>107</v>
      </c>
      <c r="B39" s="122" t="s">
        <v>132</v>
      </c>
      <c r="C39" s="123">
        <v>0.313</v>
      </c>
      <c r="D39" s="123" t="s">
        <v>130</v>
      </c>
      <c r="E39" s="123">
        <v>1.56</v>
      </c>
      <c r="F39" s="124" t="s">
        <v>274</v>
      </c>
      <c r="G39" s="125">
        <v>0.6</v>
      </c>
      <c r="H39" s="123" t="s">
        <v>283</v>
      </c>
      <c r="I39" s="126">
        <v>1.03</v>
      </c>
      <c r="J39" s="78"/>
      <c r="K39" s="78"/>
      <c r="L39" s="78"/>
      <c r="M39" s="78"/>
      <c r="N39" s="78"/>
    </row>
    <row r="40" spans="1:14" x14ac:dyDescent="0.2">
      <c r="A40" s="121" t="s">
        <v>108</v>
      </c>
      <c r="B40" s="122" t="s">
        <v>132</v>
      </c>
      <c r="C40" s="123">
        <v>0.35199999999999998</v>
      </c>
      <c r="D40" s="123" t="s">
        <v>130</v>
      </c>
      <c r="E40" s="123">
        <v>1.56</v>
      </c>
      <c r="F40" s="124" t="s">
        <v>274</v>
      </c>
      <c r="G40" s="125">
        <v>0.6</v>
      </c>
      <c r="H40" s="123" t="s">
        <v>283</v>
      </c>
      <c r="I40" s="126">
        <v>1.03</v>
      </c>
      <c r="J40" s="78"/>
      <c r="K40" s="78"/>
      <c r="L40" s="78"/>
      <c r="M40" s="78"/>
      <c r="N40" s="78"/>
    </row>
    <row r="41" spans="1:14" x14ac:dyDescent="0.2">
      <c r="A41" s="121" t="s">
        <v>121</v>
      </c>
      <c r="B41" s="122" t="s">
        <v>132</v>
      </c>
      <c r="C41" s="123">
        <v>0.32200000000000001</v>
      </c>
      <c r="D41" s="123" t="s">
        <v>130</v>
      </c>
      <c r="E41" s="123">
        <v>1.56</v>
      </c>
      <c r="F41" s="124" t="s">
        <v>274</v>
      </c>
      <c r="G41" s="125">
        <v>0.6</v>
      </c>
      <c r="H41" s="123" t="s">
        <v>283</v>
      </c>
      <c r="I41" s="126">
        <v>1.03</v>
      </c>
      <c r="J41" s="78"/>
      <c r="K41" s="78"/>
      <c r="L41" s="78"/>
      <c r="M41" s="78"/>
      <c r="N41" s="78"/>
    </row>
    <row r="42" spans="1:14" x14ac:dyDescent="0.2">
      <c r="A42" s="121" t="s">
        <v>122</v>
      </c>
      <c r="B42" s="122" t="s">
        <v>132</v>
      </c>
      <c r="C42" s="123">
        <v>0.311</v>
      </c>
      <c r="D42" s="123" t="s">
        <v>130</v>
      </c>
      <c r="E42" s="123">
        <v>1.56</v>
      </c>
      <c r="F42" s="124" t="s">
        <v>274</v>
      </c>
      <c r="G42" s="125">
        <v>0.6</v>
      </c>
      <c r="H42" s="123" t="s">
        <v>283</v>
      </c>
      <c r="I42" s="126">
        <v>1.03</v>
      </c>
      <c r="J42" s="78"/>
      <c r="K42" s="78"/>
      <c r="L42" s="78"/>
      <c r="M42" s="78"/>
      <c r="N42" s="78"/>
    </row>
    <row r="43" spans="1:14" x14ac:dyDescent="0.2">
      <c r="A43" s="121" t="s">
        <v>109</v>
      </c>
      <c r="B43" s="122" t="s">
        <v>132</v>
      </c>
      <c r="C43" s="123">
        <v>0.33900000000000002</v>
      </c>
      <c r="D43" s="123" t="s">
        <v>130</v>
      </c>
      <c r="E43" s="123">
        <v>1.56</v>
      </c>
      <c r="F43" s="124" t="s">
        <v>274</v>
      </c>
      <c r="G43" s="125">
        <v>0.6</v>
      </c>
      <c r="H43" s="123" t="s">
        <v>283</v>
      </c>
      <c r="I43" s="126">
        <v>1.03</v>
      </c>
      <c r="J43" s="78"/>
      <c r="K43" s="78"/>
      <c r="L43" s="78"/>
      <c r="M43" s="78"/>
      <c r="N43" s="78"/>
    </row>
    <row r="44" spans="1:14" x14ac:dyDescent="0.2">
      <c r="A44" s="121" t="s">
        <v>123</v>
      </c>
      <c r="B44" s="122" t="s">
        <v>132</v>
      </c>
      <c r="C44" s="123">
        <v>0.33600000000000002</v>
      </c>
      <c r="D44" s="123" t="s">
        <v>130</v>
      </c>
      <c r="E44" s="123">
        <v>1.56</v>
      </c>
      <c r="F44" s="124" t="s">
        <v>274</v>
      </c>
      <c r="G44" s="125">
        <v>0.6</v>
      </c>
      <c r="H44" s="123" t="s">
        <v>283</v>
      </c>
      <c r="I44" s="126">
        <v>1.03</v>
      </c>
      <c r="J44" s="78"/>
      <c r="K44" s="78"/>
      <c r="L44" s="78"/>
      <c r="M44" s="78"/>
      <c r="N44" s="78"/>
    </row>
    <row r="45" spans="1:14" x14ac:dyDescent="0.2">
      <c r="A45" s="121" t="s">
        <v>110</v>
      </c>
      <c r="B45" s="122" t="s">
        <v>132</v>
      </c>
      <c r="C45" s="123">
        <v>0.32900000000000001</v>
      </c>
      <c r="D45" s="123" t="s">
        <v>130</v>
      </c>
      <c r="E45" s="123">
        <v>1.56</v>
      </c>
      <c r="F45" s="124" t="s">
        <v>274</v>
      </c>
      <c r="G45" s="125">
        <v>0.6</v>
      </c>
      <c r="H45" s="123" t="s">
        <v>283</v>
      </c>
      <c r="I45" s="126">
        <v>1.03</v>
      </c>
      <c r="J45" s="78"/>
      <c r="K45" s="78"/>
      <c r="L45" s="78"/>
      <c r="M45" s="78"/>
      <c r="N45" s="78"/>
    </row>
    <row r="46" spans="1:14" x14ac:dyDescent="0.2">
      <c r="A46" s="121" t="s">
        <v>124</v>
      </c>
      <c r="B46" s="122" t="s">
        <v>132</v>
      </c>
      <c r="C46" s="123">
        <v>0.34300000000000003</v>
      </c>
      <c r="D46" s="123" t="s">
        <v>130</v>
      </c>
      <c r="E46" s="123">
        <v>1.56</v>
      </c>
      <c r="F46" s="124" t="s">
        <v>274</v>
      </c>
      <c r="G46" s="125">
        <v>0.6</v>
      </c>
      <c r="H46" s="123" t="s">
        <v>283</v>
      </c>
      <c r="I46" s="126">
        <v>1.03</v>
      </c>
      <c r="J46" s="78"/>
      <c r="K46" s="78"/>
      <c r="L46" s="78"/>
      <c r="M46" s="78"/>
      <c r="N46" s="78"/>
    </row>
    <row r="47" spans="1:14" x14ac:dyDescent="0.2">
      <c r="A47" s="121" t="s">
        <v>125</v>
      </c>
      <c r="B47" s="122" t="s">
        <v>132</v>
      </c>
      <c r="C47" s="123">
        <v>0.32500000000000001</v>
      </c>
      <c r="D47" s="123" t="s">
        <v>130</v>
      </c>
      <c r="E47" s="123">
        <v>1.56</v>
      </c>
      <c r="F47" s="124" t="s">
        <v>274</v>
      </c>
      <c r="G47" s="125">
        <v>0.6</v>
      </c>
      <c r="H47" s="123" t="s">
        <v>283</v>
      </c>
      <c r="I47" s="126">
        <v>1.03</v>
      </c>
      <c r="J47" s="78"/>
      <c r="K47" s="78"/>
      <c r="L47" s="78"/>
      <c r="M47" s="78"/>
      <c r="N47" s="78"/>
    </row>
    <row r="48" spans="1:14" x14ac:dyDescent="0.2">
      <c r="A48" s="121" t="s">
        <v>126</v>
      </c>
      <c r="B48" s="122" t="s">
        <v>132</v>
      </c>
      <c r="C48" s="123">
        <v>0.32</v>
      </c>
      <c r="D48" s="123" t="s">
        <v>130</v>
      </c>
      <c r="E48" s="123">
        <v>1.56</v>
      </c>
      <c r="F48" s="124" t="s">
        <v>274</v>
      </c>
      <c r="G48" s="125">
        <v>0.6</v>
      </c>
      <c r="H48" s="123" t="s">
        <v>283</v>
      </c>
      <c r="I48" s="126">
        <v>1.03</v>
      </c>
      <c r="J48" s="78"/>
      <c r="K48" s="78"/>
      <c r="L48" s="78"/>
      <c r="M48" s="78"/>
      <c r="N48" s="78"/>
    </row>
    <row r="49" spans="1:14" x14ac:dyDescent="0.2">
      <c r="A49" s="121" t="s">
        <v>111</v>
      </c>
      <c r="B49" s="122" t="s">
        <v>132</v>
      </c>
      <c r="C49" s="123">
        <v>0.28199999999999997</v>
      </c>
      <c r="D49" s="123" t="s">
        <v>130</v>
      </c>
      <c r="E49" s="123">
        <v>1.56</v>
      </c>
      <c r="F49" s="124" t="s">
        <v>274</v>
      </c>
      <c r="G49" s="125">
        <v>0.6</v>
      </c>
      <c r="H49" s="123" t="s">
        <v>283</v>
      </c>
      <c r="I49" s="126">
        <v>1.03</v>
      </c>
      <c r="J49" s="78"/>
      <c r="K49" s="78"/>
      <c r="L49" s="78"/>
      <c r="M49" s="78"/>
      <c r="N49" s="78"/>
    </row>
    <row r="50" spans="1:14" x14ac:dyDescent="0.2">
      <c r="A50" s="121" t="s">
        <v>127</v>
      </c>
      <c r="B50" s="122" t="s">
        <v>132</v>
      </c>
      <c r="C50" s="123">
        <v>0.32800000000000001</v>
      </c>
      <c r="D50" s="123" t="s">
        <v>130</v>
      </c>
      <c r="E50" s="123">
        <v>1.56</v>
      </c>
      <c r="F50" s="124" t="s">
        <v>274</v>
      </c>
      <c r="G50" s="125">
        <v>0.6</v>
      </c>
      <c r="H50" s="123" t="s">
        <v>283</v>
      </c>
      <c r="I50" s="126">
        <v>1.03</v>
      </c>
      <c r="J50" s="78"/>
      <c r="K50" s="78"/>
      <c r="L50" s="78"/>
      <c r="M50" s="78"/>
      <c r="N50" s="78"/>
    </row>
    <row r="51" spans="1:14" x14ac:dyDescent="0.2">
      <c r="A51" s="121" t="s">
        <v>112</v>
      </c>
      <c r="B51" s="122" t="s">
        <v>132</v>
      </c>
      <c r="C51" s="123">
        <v>0.32600000000000001</v>
      </c>
      <c r="D51" s="123" t="s">
        <v>130</v>
      </c>
      <c r="E51" s="123">
        <v>1.56</v>
      </c>
      <c r="F51" s="124" t="s">
        <v>274</v>
      </c>
      <c r="G51" s="125">
        <v>0.6</v>
      </c>
      <c r="H51" s="123" t="s">
        <v>283</v>
      </c>
      <c r="I51" s="126">
        <v>1.03</v>
      </c>
      <c r="J51" s="78"/>
      <c r="K51" s="78"/>
      <c r="L51" s="78"/>
      <c r="M51" s="78"/>
      <c r="N51" s="78"/>
    </row>
    <row r="52" spans="1:14" x14ac:dyDescent="0.2">
      <c r="A52" s="121" t="s">
        <v>113</v>
      </c>
      <c r="B52" s="122" t="s">
        <v>132</v>
      </c>
      <c r="C52" s="123">
        <v>0.35899999999999999</v>
      </c>
      <c r="D52" s="123" t="s">
        <v>130</v>
      </c>
      <c r="E52" s="123">
        <v>1.56</v>
      </c>
      <c r="F52" s="124" t="s">
        <v>274</v>
      </c>
      <c r="G52" s="125">
        <v>0.6</v>
      </c>
      <c r="H52" s="123" t="s">
        <v>283</v>
      </c>
      <c r="I52" s="126">
        <v>1.03</v>
      </c>
      <c r="J52" s="78"/>
      <c r="K52" s="78"/>
      <c r="L52" s="78"/>
      <c r="M52" s="78"/>
      <c r="N52" s="78"/>
    </row>
    <row r="53" spans="1:14" x14ac:dyDescent="0.2">
      <c r="A53" s="121" t="s">
        <v>114</v>
      </c>
      <c r="B53" s="122" t="s">
        <v>132</v>
      </c>
      <c r="C53" s="123">
        <v>0.34599999999999997</v>
      </c>
      <c r="D53" s="123" t="s">
        <v>130</v>
      </c>
      <c r="E53" s="123">
        <v>1.56</v>
      </c>
      <c r="F53" s="124" t="s">
        <v>274</v>
      </c>
      <c r="G53" s="125">
        <v>0.6</v>
      </c>
      <c r="H53" s="123" t="s">
        <v>283</v>
      </c>
      <c r="I53" s="126">
        <v>1.03</v>
      </c>
      <c r="J53" s="78"/>
      <c r="K53" s="78"/>
      <c r="L53" s="78"/>
      <c r="M53" s="78"/>
      <c r="N53" s="78"/>
    </row>
    <row r="54" spans="1:14" x14ac:dyDescent="0.2">
      <c r="A54" s="121" t="s">
        <v>115</v>
      </c>
      <c r="B54" s="122" t="s">
        <v>132</v>
      </c>
      <c r="C54" s="123">
        <v>0.32600000000000001</v>
      </c>
      <c r="D54" s="123" t="s">
        <v>130</v>
      </c>
      <c r="E54" s="123">
        <v>1.56</v>
      </c>
      <c r="F54" s="124" t="s">
        <v>274</v>
      </c>
      <c r="G54" s="125">
        <v>0.6</v>
      </c>
      <c r="H54" s="123" t="s">
        <v>283</v>
      </c>
      <c r="I54" s="126">
        <v>1.03</v>
      </c>
      <c r="J54" s="78"/>
      <c r="K54" s="78"/>
      <c r="L54" s="78"/>
      <c r="M54" s="78"/>
      <c r="N54" s="78"/>
    </row>
    <row r="55" spans="1:14" x14ac:dyDescent="0.2">
      <c r="A55" s="121" t="s">
        <v>116</v>
      </c>
      <c r="B55" s="122" t="s">
        <v>132</v>
      </c>
      <c r="C55" s="123">
        <v>0.30499999999999999</v>
      </c>
      <c r="D55" s="123" t="s">
        <v>130</v>
      </c>
      <c r="E55" s="123">
        <v>1.56</v>
      </c>
      <c r="F55" s="124" t="s">
        <v>274</v>
      </c>
      <c r="G55" s="125">
        <v>0.6</v>
      </c>
      <c r="H55" s="123" t="s">
        <v>283</v>
      </c>
      <c r="I55" s="126">
        <v>1.03</v>
      </c>
      <c r="J55" s="78"/>
      <c r="K55" s="78"/>
      <c r="L55" s="78"/>
      <c r="M55" s="78"/>
      <c r="N55" s="78"/>
    </row>
    <row r="56" spans="1:14" x14ac:dyDescent="0.2">
      <c r="A56" s="121" t="s">
        <v>128</v>
      </c>
      <c r="B56" s="122" t="s">
        <v>132</v>
      </c>
      <c r="C56" s="123">
        <v>0.32300000000000001</v>
      </c>
      <c r="D56" s="123" t="s">
        <v>130</v>
      </c>
      <c r="E56" s="123">
        <v>1.56</v>
      </c>
      <c r="F56" s="124" t="s">
        <v>274</v>
      </c>
      <c r="G56" s="125">
        <v>0.6</v>
      </c>
      <c r="H56" s="123" t="s">
        <v>283</v>
      </c>
      <c r="I56" s="126">
        <v>1.03</v>
      </c>
      <c r="J56" s="78"/>
      <c r="K56" s="78"/>
      <c r="L56" s="78"/>
      <c r="M56" s="78"/>
      <c r="N56" s="78"/>
    </row>
    <row r="57" spans="1:14" x14ac:dyDescent="0.2">
      <c r="A57" s="121" t="s">
        <v>129</v>
      </c>
      <c r="B57" s="122" t="s">
        <v>132</v>
      </c>
      <c r="C57" s="123">
        <v>0.36699999999999999</v>
      </c>
      <c r="D57" s="123" t="s">
        <v>130</v>
      </c>
      <c r="E57" s="123">
        <v>1.56</v>
      </c>
      <c r="F57" s="124" t="s">
        <v>274</v>
      </c>
      <c r="G57" s="125">
        <v>0.6</v>
      </c>
      <c r="H57" s="123" t="s">
        <v>283</v>
      </c>
      <c r="I57" s="126">
        <v>1.03</v>
      </c>
      <c r="J57" s="78"/>
      <c r="K57" s="78"/>
      <c r="L57" s="78"/>
      <c r="M57" s="78"/>
      <c r="N57" s="78"/>
    </row>
    <row r="58" spans="1:14" x14ac:dyDescent="0.2">
      <c r="A58" s="121" t="s">
        <v>117</v>
      </c>
      <c r="B58" s="122" t="s">
        <v>132</v>
      </c>
      <c r="C58" s="123">
        <v>0.36</v>
      </c>
      <c r="D58" s="123" t="s">
        <v>130</v>
      </c>
      <c r="E58" s="123">
        <v>1.56</v>
      </c>
      <c r="F58" s="124" t="s">
        <v>274</v>
      </c>
      <c r="G58" s="125">
        <v>0.6</v>
      </c>
      <c r="H58" s="123" t="s">
        <v>283</v>
      </c>
      <c r="I58" s="126">
        <v>1.03</v>
      </c>
      <c r="J58" s="78"/>
      <c r="K58" s="78"/>
      <c r="L58" s="78"/>
      <c r="M58" s="78"/>
      <c r="N58" s="78"/>
    </row>
    <row r="59" spans="1:14" x14ac:dyDescent="0.2">
      <c r="A59" s="121" t="s">
        <v>118</v>
      </c>
      <c r="B59" s="122" t="s">
        <v>132</v>
      </c>
      <c r="C59" s="123">
        <v>0.36799999999999999</v>
      </c>
      <c r="D59" s="123" t="s">
        <v>130</v>
      </c>
      <c r="E59" s="123">
        <v>1.56</v>
      </c>
      <c r="F59" s="124" t="s">
        <v>274</v>
      </c>
      <c r="G59" s="125">
        <v>0.6</v>
      </c>
      <c r="H59" s="123" t="s">
        <v>283</v>
      </c>
      <c r="I59" s="126">
        <v>1.03</v>
      </c>
      <c r="J59" s="78"/>
      <c r="K59" s="78"/>
      <c r="L59" s="78"/>
      <c r="M59" s="78"/>
      <c r="N59" s="78"/>
    </row>
    <row r="60" spans="1:14" x14ac:dyDescent="0.2">
      <c r="A60" s="121" t="s">
        <v>119</v>
      </c>
      <c r="B60" s="122" t="s">
        <v>132</v>
      </c>
      <c r="C60" s="123">
        <v>0.30599999999999999</v>
      </c>
      <c r="D60" s="123" t="s">
        <v>130</v>
      </c>
      <c r="E60" s="123">
        <v>1.56</v>
      </c>
      <c r="F60" s="124" t="s">
        <v>274</v>
      </c>
      <c r="G60" s="125">
        <v>0.6</v>
      </c>
      <c r="H60" s="123" t="s">
        <v>283</v>
      </c>
      <c r="I60" s="126">
        <v>1.03</v>
      </c>
      <c r="J60" s="78"/>
      <c r="K60" s="78"/>
      <c r="L60" s="78"/>
      <c r="M60" s="78"/>
      <c r="N60" s="78"/>
    </row>
    <row r="61" spans="1:14" x14ac:dyDescent="0.2">
      <c r="A61" s="121" t="s">
        <v>120</v>
      </c>
      <c r="B61" s="122" t="s">
        <v>132</v>
      </c>
      <c r="C61" s="123">
        <v>0.313</v>
      </c>
      <c r="D61" s="123" t="s">
        <v>130</v>
      </c>
      <c r="E61" s="123">
        <v>1.56</v>
      </c>
      <c r="F61" s="124" t="s">
        <v>274</v>
      </c>
      <c r="G61" s="125">
        <v>0.6</v>
      </c>
      <c r="H61" s="123" t="s">
        <v>283</v>
      </c>
      <c r="I61" s="126">
        <v>1.03</v>
      </c>
      <c r="J61" s="78"/>
      <c r="K61" s="78"/>
      <c r="L61" s="78"/>
      <c r="M61" s="78"/>
      <c r="N61" s="78"/>
    </row>
    <row r="62" spans="1:14" x14ac:dyDescent="0.2">
      <c r="A62" s="121" t="s">
        <v>32</v>
      </c>
      <c r="B62" s="122" t="s">
        <v>133</v>
      </c>
      <c r="C62" s="123">
        <v>0.37</v>
      </c>
      <c r="D62" s="123" t="s">
        <v>161</v>
      </c>
      <c r="E62" s="123">
        <v>1.56</v>
      </c>
      <c r="F62" s="124" t="s">
        <v>274</v>
      </c>
      <c r="G62" s="125">
        <v>0.6</v>
      </c>
      <c r="H62" s="123" t="s">
        <v>283</v>
      </c>
      <c r="I62" s="126">
        <v>1.03</v>
      </c>
      <c r="J62" s="78"/>
      <c r="K62" s="78"/>
      <c r="L62" s="78"/>
      <c r="M62" s="78"/>
      <c r="N62" s="78"/>
    </row>
    <row r="63" spans="1:14" x14ac:dyDescent="0.2">
      <c r="A63" s="121" t="s">
        <v>90</v>
      </c>
      <c r="B63" s="122" t="s">
        <v>83</v>
      </c>
      <c r="C63" s="123">
        <v>0.45</v>
      </c>
      <c r="D63" s="123" t="s">
        <v>161</v>
      </c>
      <c r="E63" s="123">
        <v>1.3</v>
      </c>
      <c r="F63" s="124" t="s">
        <v>274</v>
      </c>
      <c r="G63" s="125">
        <v>0.45</v>
      </c>
      <c r="H63" s="123" t="s">
        <v>276</v>
      </c>
      <c r="I63" s="126">
        <v>0.43</v>
      </c>
      <c r="J63" s="78"/>
      <c r="K63" s="78"/>
      <c r="L63" s="78"/>
      <c r="M63" s="78"/>
      <c r="N63" s="78"/>
    </row>
    <row r="64" spans="1:14" x14ac:dyDescent="0.2">
      <c r="A64" s="121" t="s">
        <v>33</v>
      </c>
      <c r="B64" s="122" t="s">
        <v>134</v>
      </c>
      <c r="C64" s="123">
        <v>0.39</v>
      </c>
      <c r="D64" s="123" t="s">
        <v>161</v>
      </c>
      <c r="E64" s="123">
        <v>1.3</v>
      </c>
      <c r="F64" s="124" t="s">
        <v>274</v>
      </c>
      <c r="G64" s="125">
        <v>0.45</v>
      </c>
      <c r="H64" s="123" t="s">
        <v>276</v>
      </c>
      <c r="I64" s="126">
        <v>0.43</v>
      </c>
      <c r="J64" s="78"/>
      <c r="K64" s="78"/>
      <c r="L64" s="78"/>
      <c r="M64" s="78"/>
      <c r="N64" s="78"/>
    </row>
    <row r="65" spans="1:14" x14ac:dyDescent="0.2">
      <c r="A65" s="121" t="s">
        <v>34</v>
      </c>
      <c r="B65" s="122" t="s">
        <v>135</v>
      </c>
      <c r="C65" s="123">
        <v>0.44</v>
      </c>
      <c r="D65" s="123" t="s">
        <v>161</v>
      </c>
      <c r="E65" s="123">
        <v>1.3</v>
      </c>
      <c r="F65" s="124" t="s">
        <v>274</v>
      </c>
      <c r="G65" s="125">
        <v>0.45</v>
      </c>
      <c r="H65" s="123" t="s">
        <v>276</v>
      </c>
      <c r="I65" s="126">
        <v>0.43</v>
      </c>
      <c r="J65" s="78"/>
      <c r="K65" s="78"/>
      <c r="L65" s="78"/>
      <c r="M65" s="78"/>
      <c r="N65" s="78"/>
    </row>
    <row r="66" spans="1:14" x14ac:dyDescent="0.2">
      <c r="A66" s="121" t="s">
        <v>35</v>
      </c>
      <c r="B66" s="122" t="s">
        <v>84</v>
      </c>
      <c r="C66" s="123">
        <v>0.46</v>
      </c>
      <c r="D66" s="123" t="s">
        <v>161</v>
      </c>
      <c r="E66" s="123">
        <v>1.3</v>
      </c>
      <c r="F66" s="124" t="s">
        <v>274</v>
      </c>
      <c r="G66" s="125">
        <v>0.45</v>
      </c>
      <c r="H66" s="123" t="s">
        <v>276</v>
      </c>
      <c r="I66" s="126">
        <v>0.43</v>
      </c>
      <c r="J66" s="78"/>
      <c r="K66" s="78"/>
      <c r="L66" s="78"/>
      <c r="M66" s="78"/>
      <c r="N66" s="78"/>
    </row>
    <row r="67" spans="1:14" x14ac:dyDescent="0.2">
      <c r="A67" s="121" t="s">
        <v>36</v>
      </c>
      <c r="B67" s="122" t="s">
        <v>85</v>
      </c>
      <c r="C67" s="123">
        <v>0.46</v>
      </c>
      <c r="D67" s="123" t="s">
        <v>161</v>
      </c>
      <c r="E67" s="123">
        <v>1.3</v>
      </c>
      <c r="F67" s="124" t="s">
        <v>274</v>
      </c>
      <c r="G67" s="125">
        <v>0.45</v>
      </c>
      <c r="H67" s="123" t="s">
        <v>152</v>
      </c>
      <c r="I67" s="126">
        <v>0.59</v>
      </c>
      <c r="J67" s="78"/>
      <c r="K67" s="78"/>
      <c r="L67" s="78"/>
      <c r="M67" s="78"/>
      <c r="N67" s="78"/>
    </row>
    <row r="68" spans="1:14" x14ac:dyDescent="0.2">
      <c r="A68" s="121" t="s">
        <v>37</v>
      </c>
      <c r="B68" s="122" t="s">
        <v>136</v>
      </c>
      <c r="C68" s="123">
        <v>0.44</v>
      </c>
      <c r="D68" s="123" t="s">
        <v>161</v>
      </c>
      <c r="E68" s="123">
        <v>1.3</v>
      </c>
      <c r="F68" s="124" t="s">
        <v>274</v>
      </c>
      <c r="G68" s="125">
        <v>0.45</v>
      </c>
      <c r="H68" s="123" t="s">
        <v>276</v>
      </c>
      <c r="I68" s="126">
        <v>0.43</v>
      </c>
      <c r="J68" s="78"/>
      <c r="K68" s="78"/>
      <c r="L68" s="78"/>
      <c r="M68" s="78"/>
      <c r="N68" s="78"/>
    </row>
    <row r="69" spans="1:14" x14ac:dyDescent="0.2">
      <c r="A69" s="121" t="s">
        <v>38</v>
      </c>
      <c r="B69" s="122" t="s">
        <v>86</v>
      </c>
      <c r="C69" s="123">
        <v>0.46</v>
      </c>
      <c r="D69" s="123" t="s">
        <v>161</v>
      </c>
      <c r="E69" s="123">
        <v>1.3</v>
      </c>
      <c r="F69" s="124" t="s">
        <v>274</v>
      </c>
      <c r="G69" s="125">
        <v>0.45</v>
      </c>
      <c r="H69" s="123" t="s">
        <v>276</v>
      </c>
      <c r="I69" s="126">
        <v>0.43</v>
      </c>
      <c r="J69" s="78"/>
      <c r="K69" s="78"/>
      <c r="L69" s="78"/>
      <c r="M69" s="78"/>
      <c r="N69" s="78"/>
    </row>
    <row r="70" spans="1:14" x14ac:dyDescent="0.2">
      <c r="A70" s="121" t="s">
        <v>39</v>
      </c>
      <c r="B70" s="122" t="s">
        <v>137</v>
      </c>
      <c r="C70" s="123">
        <v>0.48</v>
      </c>
      <c r="D70" s="123" t="s">
        <v>161</v>
      </c>
      <c r="E70" s="123">
        <v>2.4</v>
      </c>
      <c r="F70" s="123" t="s">
        <v>284</v>
      </c>
      <c r="G70" s="125">
        <v>0.45</v>
      </c>
      <c r="H70" s="123" t="s">
        <v>276</v>
      </c>
      <c r="I70" s="126">
        <v>0.43</v>
      </c>
      <c r="J70" s="78"/>
      <c r="K70" s="78"/>
      <c r="L70" s="78"/>
      <c r="M70" s="78"/>
      <c r="N70" s="78"/>
    </row>
    <row r="71" spans="1:14" x14ac:dyDescent="0.2">
      <c r="A71" s="121" t="s">
        <v>40</v>
      </c>
      <c r="B71" s="122" t="s">
        <v>87</v>
      </c>
      <c r="C71" s="123">
        <v>0.46</v>
      </c>
      <c r="D71" s="123" t="s">
        <v>150</v>
      </c>
      <c r="E71" s="123">
        <v>1.3</v>
      </c>
      <c r="F71" s="124" t="s">
        <v>274</v>
      </c>
      <c r="G71" s="125">
        <v>0.45</v>
      </c>
      <c r="H71" s="123" t="s">
        <v>276</v>
      </c>
      <c r="I71" s="126">
        <v>0.43</v>
      </c>
      <c r="J71" s="78"/>
      <c r="K71" s="78"/>
      <c r="L71" s="78"/>
      <c r="M71" s="78"/>
      <c r="N71" s="78"/>
    </row>
    <row r="72" spans="1:14" x14ac:dyDescent="0.2">
      <c r="A72" s="121" t="s">
        <v>41</v>
      </c>
      <c r="B72" s="122" t="s">
        <v>88</v>
      </c>
      <c r="C72" s="123">
        <v>0.44</v>
      </c>
      <c r="D72" s="123" t="s">
        <v>161</v>
      </c>
      <c r="E72" s="123">
        <v>1.3</v>
      </c>
      <c r="F72" s="124" t="s">
        <v>274</v>
      </c>
      <c r="G72" s="125">
        <v>0.45</v>
      </c>
      <c r="H72" s="123" t="s">
        <v>276</v>
      </c>
      <c r="I72" s="126">
        <v>0.43</v>
      </c>
      <c r="J72" s="78"/>
      <c r="K72" s="78"/>
      <c r="L72" s="78"/>
      <c r="M72" s="78"/>
      <c r="N72" s="78"/>
    </row>
    <row r="73" spans="1:14" x14ac:dyDescent="0.2">
      <c r="A73" s="121" t="s">
        <v>138</v>
      </c>
      <c r="B73" s="122" t="s">
        <v>140</v>
      </c>
      <c r="C73" s="123">
        <v>0.46</v>
      </c>
      <c r="D73" s="123" t="s">
        <v>151</v>
      </c>
      <c r="E73" s="123">
        <v>1.3</v>
      </c>
      <c r="F73" s="124" t="s">
        <v>274</v>
      </c>
      <c r="G73" s="125">
        <v>0.45</v>
      </c>
      <c r="H73" s="123" t="s">
        <v>276</v>
      </c>
      <c r="I73" s="126">
        <v>0.43</v>
      </c>
      <c r="J73" s="78"/>
      <c r="K73" s="78"/>
      <c r="L73" s="78"/>
      <c r="M73" s="78"/>
      <c r="N73" s="78"/>
    </row>
    <row r="74" spans="1:14" x14ac:dyDescent="0.2">
      <c r="A74" s="121" t="s">
        <v>42</v>
      </c>
      <c r="B74" s="122" t="s">
        <v>139</v>
      </c>
      <c r="C74" s="123">
        <v>0.34</v>
      </c>
      <c r="D74" s="123" t="s">
        <v>161</v>
      </c>
      <c r="E74" s="123">
        <v>1.3</v>
      </c>
      <c r="F74" s="124" t="s">
        <v>274</v>
      </c>
      <c r="G74" s="125">
        <v>0.45</v>
      </c>
      <c r="H74" s="123" t="s">
        <v>276</v>
      </c>
      <c r="I74" s="126">
        <v>0.43</v>
      </c>
      <c r="J74" s="78"/>
      <c r="K74" s="78"/>
      <c r="L74" s="78"/>
      <c r="M74" s="78"/>
      <c r="N74" s="78"/>
    </row>
    <row r="75" spans="1:14" x14ac:dyDescent="0.2">
      <c r="A75" s="121" t="s">
        <v>43</v>
      </c>
      <c r="B75" s="122" t="s">
        <v>162</v>
      </c>
      <c r="C75" s="123">
        <v>0.5</v>
      </c>
      <c r="D75" s="123" t="s">
        <v>161</v>
      </c>
      <c r="E75" s="123">
        <v>1.56</v>
      </c>
      <c r="F75" s="124" t="s">
        <v>274</v>
      </c>
      <c r="G75" s="125">
        <v>0.53</v>
      </c>
      <c r="H75" s="123" t="s">
        <v>275</v>
      </c>
      <c r="I75" s="126">
        <v>0.25</v>
      </c>
      <c r="J75" s="78"/>
      <c r="K75" s="78"/>
      <c r="L75" s="78"/>
      <c r="M75" s="78"/>
      <c r="N75" s="78"/>
    </row>
    <row r="76" spans="1:14" x14ac:dyDescent="0.2">
      <c r="A76" s="121" t="s">
        <v>44</v>
      </c>
      <c r="B76" s="122" t="s">
        <v>89</v>
      </c>
      <c r="C76" s="123">
        <v>0.57999999999999996</v>
      </c>
      <c r="D76" s="123" t="s">
        <v>161</v>
      </c>
      <c r="E76" s="123">
        <v>1.56</v>
      </c>
      <c r="F76" s="124" t="s">
        <v>274</v>
      </c>
      <c r="G76" s="125">
        <v>0.3</v>
      </c>
      <c r="H76" s="123" t="s">
        <v>277</v>
      </c>
      <c r="I76" s="126">
        <v>0.25</v>
      </c>
      <c r="J76" s="78"/>
      <c r="K76" s="78"/>
      <c r="L76" s="78"/>
      <c r="M76" s="78"/>
      <c r="N76" s="78"/>
    </row>
    <row r="77" spans="1:14" x14ac:dyDescent="0.2">
      <c r="A77" s="121" t="s">
        <v>47</v>
      </c>
      <c r="B77" s="122" t="s">
        <v>141</v>
      </c>
      <c r="C77" s="123">
        <v>0.37</v>
      </c>
      <c r="D77" s="123" t="s">
        <v>161</v>
      </c>
      <c r="E77" s="123">
        <v>1.3</v>
      </c>
      <c r="F77" s="124" t="s">
        <v>274</v>
      </c>
      <c r="G77" s="125">
        <v>0.55000000000000004</v>
      </c>
      <c r="H77" s="123" t="s">
        <v>152</v>
      </c>
      <c r="I77" s="126">
        <v>0.43</v>
      </c>
      <c r="J77" s="78"/>
      <c r="K77" s="78"/>
      <c r="L77" s="78"/>
      <c r="M77" s="78"/>
      <c r="N77" s="78"/>
    </row>
    <row r="78" spans="1:14" x14ac:dyDescent="0.2">
      <c r="A78" s="121" t="s">
        <v>45</v>
      </c>
      <c r="B78" s="122" t="s">
        <v>96</v>
      </c>
      <c r="C78" s="123">
        <v>0.37</v>
      </c>
      <c r="D78" s="123" t="s">
        <v>161</v>
      </c>
      <c r="E78" s="123">
        <v>1.3</v>
      </c>
      <c r="F78" s="124" t="s">
        <v>274</v>
      </c>
      <c r="G78" s="125">
        <v>0.55000000000000004</v>
      </c>
      <c r="H78" s="123" t="s">
        <v>152</v>
      </c>
      <c r="I78" s="126">
        <v>0.43</v>
      </c>
      <c r="J78" s="78"/>
      <c r="K78" s="78"/>
      <c r="L78" s="78"/>
      <c r="M78" s="78"/>
      <c r="N78" s="78"/>
    </row>
    <row r="79" spans="1:14" x14ac:dyDescent="0.2">
      <c r="A79" s="121" t="s">
        <v>46</v>
      </c>
      <c r="B79" s="122" t="s">
        <v>95</v>
      </c>
      <c r="C79" s="123">
        <v>0.38</v>
      </c>
      <c r="D79" s="123" t="s">
        <v>161</v>
      </c>
      <c r="E79" s="123">
        <v>1.3</v>
      </c>
      <c r="F79" s="124" t="s">
        <v>274</v>
      </c>
      <c r="G79" s="125">
        <v>0.55000000000000004</v>
      </c>
      <c r="H79" s="123" t="s">
        <v>153</v>
      </c>
      <c r="I79" s="126">
        <v>0.43</v>
      </c>
      <c r="J79" s="78"/>
      <c r="K79" s="78"/>
      <c r="L79" s="78"/>
      <c r="M79" s="78"/>
      <c r="N79" s="78"/>
    </row>
    <row r="80" spans="1:14" x14ac:dyDescent="0.2">
      <c r="A80" s="121" t="s">
        <v>48</v>
      </c>
      <c r="B80" s="122" t="s">
        <v>94</v>
      </c>
      <c r="C80" s="123">
        <v>0.36</v>
      </c>
      <c r="D80" s="123" t="s">
        <v>161</v>
      </c>
      <c r="E80" s="123">
        <v>1.3</v>
      </c>
      <c r="F80" s="124" t="s">
        <v>274</v>
      </c>
      <c r="G80" s="125">
        <v>0.55000000000000004</v>
      </c>
      <c r="H80" s="123" t="s">
        <v>153</v>
      </c>
      <c r="I80" s="126">
        <v>0.43</v>
      </c>
      <c r="J80" s="78"/>
      <c r="K80" s="78"/>
      <c r="L80" s="78"/>
      <c r="M80" s="78"/>
      <c r="N80" s="78"/>
    </row>
    <row r="81" spans="1:14" x14ac:dyDescent="0.2">
      <c r="A81" s="121" t="s">
        <v>49</v>
      </c>
      <c r="B81" s="122" t="s">
        <v>142</v>
      </c>
      <c r="C81" s="123">
        <v>0.37</v>
      </c>
      <c r="D81" s="123" t="s">
        <v>161</v>
      </c>
      <c r="E81" s="123">
        <v>1.56</v>
      </c>
      <c r="F81" s="124" t="s">
        <v>274</v>
      </c>
      <c r="G81" s="125">
        <v>0.43</v>
      </c>
      <c r="H81" s="123" t="s">
        <v>278</v>
      </c>
      <c r="I81" s="126">
        <v>0.25</v>
      </c>
      <c r="J81" s="78"/>
      <c r="K81" s="78"/>
      <c r="L81" s="78"/>
      <c r="M81" s="78"/>
      <c r="N81" s="78"/>
    </row>
    <row r="82" spans="1:14" x14ac:dyDescent="0.2">
      <c r="A82" s="121" t="s">
        <v>158</v>
      </c>
      <c r="B82" s="122" t="s">
        <v>159</v>
      </c>
      <c r="C82" s="123">
        <v>0.35</v>
      </c>
      <c r="D82" s="123" t="s">
        <v>160</v>
      </c>
      <c r="E82" s="123">
        <v>1.3</v>
      </c>
      <c r="F82" s="124" t="s">
        <v>274</v>
      </c>
      <c r="G82" s="125">
        <v>0.55000000000000004</v>
      </c>
      <c r="H82" s="123" t="s">
        <v>153</v>
      </c>
      <c r="I82" s="126">
        <v>0.43</v>
      </c>
      <c r="J82" s="78"/>
      <c r="K82" s="78"/>
      <c r="L82" s="78"/>
      <c r="M82" s="78"/>
      <c r="N82" s="78"/>
    </row>
    <row r="83" spans="1:14" x14ac:dyDescent="0.2">
      <c r="A83" s="121" t="s">
        <v>156</v>
      </c>
      <c r="B83" s="122" t="s">
        <v>157</v>
      </c>
      <c r="C83" s="123">
        <v>0.34</v>
      </c>
      <c r="D83" s="123" t="s">
        <v>161</v>
      </c>
      <c r="E83" s="123">
        <v>1.3</v>
      </c>
      <c r="F83" s="124" t="s">
        <v>274</v>
      </c>
      <c r="G83" s="125">
        <v>0.55000000000000004</v>
      </c>
      <c r="H83" s="123" t="s">
        <v>153</v>
      </c>
      <c r="I83" s="126">
        <v>0.43</v>
      </c>
      <c r="J83" s="78"/>
      <c r="K83" s="78"/>
      <c r="L83" s="78"/>
      <c r="M83" s="78"/>
      <c r="N83" s="78"/>
    </row>
    <row r="84" spans="1:14" x14ac:dyDescent="0.2">
      <c r="A84" s="121" t="s">
        <v>92</v>
      </c>
      <c r="B84" s="122" t="s">
        <v>93</v>
      </c>
      <c r="C84" s="123">
        <v>0.31</v>
      </c>
      <c r="D84" s="123" t="s">
        <v>161</v>
      </c>
      <c r="E84" s="123">
        <v>1.3</v>
      </c>
      <c r="F84" s="124" t="s">
        <v>274</v>
      </c>
      <c r="G84" s="125">
        <v>0.55000000000000004</v>
      </c>
      <c r="H84" s="123" t="s">
        <v>153</v>
      </c>
      <c r="I84" s="126">
        <v>0.43</v>
      </c>
      <c r="J84" s="78"/>
      <c r="K84" s="78"/>
      <c r="L84" s="78"/>
      <c r="M84" s="78"/>
      <c r="N84" s="78"/>
    </row>
    <row r="85" spans="1:14" x14ac:dyDescent="0.2">
      <c r="A85" s="121" t="s">
        <v>50</v>
      </c>
      <c r="B85" s="122" t="s">
        <v>143</v>
      </c>
      <c r="C85" s="123">
        <v>0.43</v>
      </c>
      <c r="D85" s="123" t="s">
        <v>161</v>
      </c>
      <c r="E85" s="123">
        <v>1.56</v>
      </c>
      <c r="F85" s="124" t="s">
        <v>274</v>
      </c>
      <c r="G85" s="125">
        <v>0.53</v>
      </c>
      <c r="H85" s="123" t="s">
        <v>275</v>
      </c>
      <c r="I85" s="126">
        <v>0.25</v>
      </c>
      <c r="J85" s="78"/>
      <c r="K85" s="78"/>
      <c r="L85" s="78"/>
      <c r="M85" s="78"/>
      <c r="N85" s="78"/>
    </row>
    <row r="86" spans="1:14" x14ac:dyDescent="0.2">
      <c r="A86" s="121" t="s">
        <v>51</v>
      </c>
      <c r="B86" s="122" t="s">
        <v>91</v>
      </c>
      <c r="C86" s="123">
        <v>0.38</v>
      </c>
      <c r="D86" s="123" t="s">
        <v>161</v>
      </c>
      <c r="E86" s="123">
        <v>1.56</v>
      </c>
      <c r="F86" s="124" t="s">
        <v>274</v>
      </c>
      <c r="G86" s="125">
        <v>0.6</v>
      </c>
      <c r="H86" s="123" t="s">
        <v>279</v>
      </c>
      <c r="I86" s="126">
        <v>0.25</v>
      </c>
      <c r="J86" s="78"/>
      <c r="K86" s="78"/>
      <c r="L86" s="78"/>
      <c r="M86" s="78"/>
      <c r="N86" s="78"/>
    </row>
    <row r="87" spans="1:14" x14ac:dyDescent="0.2">
      <c r="A87" s="250" t="s">
        <v>321</v>
      </c>
      <c r="B87" s="251" t="s">
        <v>322</v>
      </c>
      <c r="C87" s="252">
        <v>0.41</v>
      </c>
      <c r="D87" s="252" t="s">
        <v>323</v>
      </c>
      <c r="E87" s="252">
        <v>1.56</v>
      </c>
      <c r="F87" s="253" t="s">
        <v>274</v>
      </c>
      <c r="G87" s="254">
        <v>0.43</v>
      </c>
      <c r="H87" s="252" t="s">
        <v>278</v>
      </c>
      <c r="I87" s="255">
        <v>0.25</v>
      </c>
      <c r="J87" s="78"/>
      <c r="K87" s="78"/>
      <c r="L87" s="78"/>
      <c r="M87" s="78"/>
      <c r="N87" s="78"/>
    </row>
    <row r="88" spans="1:14" x14ac:dyDescent="0.2">
      <c r="A88" s="121" t="s">
        <v>148</v>
      </c>
      <c r="B88" s="129"/>
      <c r="C88" s="123">
        <v>0.42</v>
      </c>
      <c r="D88" s="123" t="s">
        <v>161</v>
      </c>
      <c r="E88" s="123">
        <v>1.3</v>
      </c>
      <c r="F88" s="124" t="s">
        <v>274</v>
      </c>
      <c r="G88" s="130"/>
      <c r="H88" s="129"/>
      <c r="I88" s="131"/>
    </row>
    <row r="89" spans="1:14" ht="16" thickBot="1" x14ac:dyDescent="0.25">
      <c r="A89" s="132" t="s">
        <v>149</v>
      </c>
      <c r="B89" s="133"/>
      <c r="C89" s="134">
        <v>0.56999999999999995</v>
      </c>
      <c r="D89" s="135" t="s">
        <v>161</v>
      </c>
      <c r="E89" s="134">
        <v>1.56</v>
      </c>
      <c r="F89" s="134" t="s">
        <v>274</v>
      </c>
      <c r="G89" s="133"/>
      <c r="H89" s="133"/>
      <c r="I89" s="136"/>
    </row>
    <row r="93" spans="1:14" x14ac:dyDescent="0.2">
      <c r="A93" s="121" t="s">
        <v>208</v>
      </c>
    </row>
    <row r="94" spans="1:14" x14ac:dyDescent="0.2">
      <c r="A94" s="121" t="s">
        <v>209</v>
      </c>
    </row>
    <row r="95" spans="1:14" x14ac:dyDescent="0.2">
      <c r="A95" s="12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58" zoomScale="90" zoomScaleNormal="90" workbookViewId="0">
      <selection activeCell="L32" sqref="L32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2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35">
      <c r="A2" s="273" t="s">
        <v>271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5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6" thickBo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65" thickBot="1" x14ac:dyDescent="0.25">
      <c r="A5" s="137" t="s">
        <v>207</v>
      </c>
      <c r="B5" s="138" t="s">
        <v>250</v>
      </c>
      <c r="C5" s="139" t="str">
        <f>Calculateur!S2</f>
        <v>ΔStock moyen de long terme (tCO₂/ha)</v>
      </c>
      <c r="D5" s="139" t="str">
        <f>Calculateur!T2</f>
        <v>Δstock CO₂ 30 ans (tCO₂/ha)</v>
      </c>
      <c r="E5" s="139" t="s">
        <v>228</v>
      </c>
      <c r="F5" s="139" t="s">
        <v>239</v>
      </c>
      <c r="G5" s="139" t="s">
        <v>240</v>
      </c>
      <c r="H5" s="140" t="s">
        <v>241</v>
      </c>
      <c r="I5" s="141" t="s">
        <v>242</v>
      </c>
      <c r="J5" s="142" t="s">
        <v>243</v>
      </c>
      <c r="K5" s="143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">
      <c r="A6" s="144" t="str">
        <f>IF('Données projet'!$B$9="","",'Données projet'!$B$9)</f>
        <v>Chêne sessile</v>
      </c>
      <c r="B6" s="145">
        <f>'Données projet'!D9</f>
        <v>6.7320000000000011</v>
      </c>
      <c r="C6" s="146">
        <f ca="1">IF(OR('Données projet'!B9="",'Données projet'!C9="",'Données projet'!C9=0%),0,Calculateur!S3)</f>
        <v>173.91998182168385</v>
      </c>
      <c r="D6" s="146">
        <f>IF(OR('Données projet'!B9="",'Données projet'!C9="",'Données projet'!C9=0%),0,Calculateur!T3)</f>
        <v>72.011647893875363</v>
      </c>
      <c r="E6" s="146">
        <f ca="1">MIN(C6,D6)</f>
        <v>72.011647893875363</v>
      </c>
      <c r="F6" s="146">
        <f ca="1">E6*B6</f>
        <v>484.78241362156905</v>
      </c>
      <c r="G6" s="146">
        <f ca="1">F6*(100%-'Données projet'!$C$24)*(100%-'Données projet'!$C$25)*(100%-'Données projet'!$C$26)*(100%-'Données projet'!$C$27)</f>
        <v>436.30417225941216</v>
      </c>
      <c r="H6" s="147">
        <f>IF(OR('Données projet'!B9="",'Données projet'!C9="",'Données projet'!C9=0%),0,AVERAGE(Calculateur!$AC$3:$AC$33)*B6)</f>
        <v>0</v>
      </c>
      <c r="I6" s="148">
        <f>H6*(100%-'Données projet'!$C$24)*(100%-'Données projet'!$C$25)*(100%-'Données projet'!$C$26)*(100%-'Données projet'!$C$27)</f>
        <v>0</v>
      </c>
      <c r="J6" s="149">
        <f>IF(OR('Données projet'!B9="",'Données projet'!C9="",'Données projet'!C9=0%),0,SUM(Calculateur!$V$3:$V$33)*VLOOKUP('Données projet'!$B$9,Paramètres!$A$1:$I$89,9,0)*B6)</f>
        <v>0</v>
      </c>
      <c r="K6" s="150">
        <f>J6*(100%-'Données projet'!$C$24)*(100%-'Données projet'!$C$25)*(100%-'Données projet'!$C$26)*(100%-'Données projet'!$C$27)</f>
        <v>0</v>
      </c>
      <c r="L6" s="151">
        <f ca="1">G6+I6+K6</f>
        <v>436.30417225941216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">
      <c r="A7" s="152" t="str">
        <f>IF('Données projet'!$B$10="","",'Données projet'!$B$10)</f>
        <v>Cormier</v>
      </c>
      <c r="B7" s="153">
        <f>'Données projet'!D10</f>
        <v>0.15000000000000002</v>
      </c>
      <c r="C7" s="146">
        <f ca="1">IF(OR('Données projet'!B10="",'Données projet'!C10="",'Données projet'!C10=0%),0,Calculateur!AN3)</f>
        <v>150.9416300233616</v>
      </c>
      <c r="D7" s="146">
        <f>IF(OR('Données projet'!B10="",'Données projet'!C10="",'Données projet'!C10=0%),0,Calculateur!AO3)</f>
        <v>92.286636088269972</v>
      </c>
      <c r="E7" s="146">
        <f t="shared" ref="E7:E15" ca="1" si="0">MIN(C7,D7)</f>
        <v>92.286636088269972</v>
      </c>
      <c r="F7" s="146">
        <f t="shared" ref="F7:F15" ca="1" si="1">E7*B7</f>
        <v>13.842995413240498</v>
      </c>
      <c r="G7" s="146">
        <f ca="1">F7*(100%-'Données projet'!$C$24)*(100%-'Données projet'!$C$25)*(100%-'Données projet'!$C$26)*(100%-'Données projet'!$C$27)</f>
        <v>12.458695871916449</v>
      </c>
      <c r="H7" s="154">
        <f>IF(OR('Données projet'!B10="",'Données projet'!C10="",'Données projet'!C10=0%),0,AVERAGE(Calculateur!$AX$3:$AX$33)*B7)</f>
        <v>0</v>
      </c>
      <c r="I7" s="148">
        <f>H7*(100%-'Données projet'!$C$24)*(100%-'Données projet'!$C$25)*(100%-'Données projet'!$C$26)*(100%-'Données projet'!$C$27)</f>
        <v>0</v>
      </c>
      <c r="J7" s="149">
        <f>IF(OR('Données projet'!B10="",'Données projet'!C10="",'Données projet'!C10=0%),0,SUM(Calculateur!$AQ$3:$AQ$33)*VLOOKUP('Données projet'!$B$10,Paramètres!$A$1:$I$89,9,0)*B7)</f>
        <v>0</v>
      </c>
      <c r="K7" s="150">
        <f>J7*(100%-'Données projet'!$C$24)*(100%-'Données projet'!$C$25)*(100%-'Données projet'!$C$26)*(100%-'Données projet'!$C$27)</f>
        <v>0</v>
      </c>
      <c r="L7" s="151">
        <f t="shared" ref="L7:L15" ca="1" si="2">G7+I7+K7</f>
        <v>12.458695871916449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">
      <c r="A8" s="152" t="str">
        <f>IF('Données projet'!$B$11="","",'Données projet'!$B$11)</f>
        <v>Alisier Torminal</v>
      </c>
      <c r="B8" s="153">
        <f>'Données projet'!D11</f>
        <v>0.12479999999999999</v>
      </c>
      <c r="C8" s="146">
        <f ca="1">IF(OR('Données projet'!B11="",'Données projet'!C11="",'Données projet'!C11=0%),0,Calculateur!BI3)</f>
        <v>131.02416800340484</v>
      </c>
      <c r="D8" s="146">
        <f>IF(OR('Données projet'!B11="",'Données projet'!C11="",'Données projet'!C11=0%),0,Calculateur!BJ3)</f>
        <v>79.394119001888555</v>
      </c>
      <c r="E8" s="146">
        <f t="shared" ca="1" si="0"/>
        <v>79.394119001888555</v>
      </c>
      <c r="F8" s="146">
        <f t="shared" ca="1" si="1"/>
        <v>9.9083860514356914</v>
      </c>
      <c r="G8" s="146">
        <f ca="1">F8*(100%-'Données projet'!$C$24)*(100%-'Données projet'!$C$25)*(100%-'Données projet'!$C$26)*(100%-'Données projet'!$C$27)</f>
        <v>8.9175474462921223</v>
      </c>
      <c r="H8" s="154">
        <f>IF(OR('Données projet'!B11="",'Données projet'!C11="",'Données projet'!C11=0%),0,AVERAGE(Calculateur!$BS$3:$BS$33)*B8)</f>
        <v>0</v>
      </c>
      <c r="I8" s="148">
        <f>H8*(100%-'Données projet'!$C$24)*(100%-'Données projet'!$C$25)*(100%-'Données projet'!$C$26)*(100%-'Données projet'!$C$27)</f>
        <v>0</v>
      </c>
      <c r="J8" s="149">
        <f>IF(OR('Données projet'!B11="",'Données projet'!C11="",'Données projet'!C11=0%),0,SUM(Calculateur!$BL$3:$BL$33)*VLOOKUP('Données projet'!$B$11,Paramètres!$A$1:$I$89,9,0)*B8)</f>
        <v>0</v>
      </c>
      <c r="K8" s="150">
        <f>J8*(100%-'Données projet'!$C$24)*(100%-'Données projet'!$C$25)*(100%-'Données projet'!$C$26)*(100%-'Données projet'!$C$27)</f>
        <v>0</v>
      </c>
      <c r="L8" s="151">
        <f t="shared" ca="1" si="2"/>
        <v>8.9175474462921223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">
      <c r="A9" s="152" t="str">
        <f>IF('Données projet'!$B$12="","",'Données projet'!$B$12)</f>
        <v>Chêne sessile</v>
      </c>
      <c r="B9" s="153">
        <f>'Données projet'!D12</f>
        <v>0.17519999999999999</v>
      </c>
      <c r="C9" s="146">
        <f ca="1">IF(OR('Données projet'!B12="",'Données projet'!C12="",'Données projet'!C12=0%),0,Calculateur!CD3)</f>
        <v>119.62076457560073</v>
      </c>
      <c r="D9" s="146">
        <f>IF(OR('Données projet'!B12="",'Données projet'!C12="",'Données projet'!C12=0%),0,Calculateur!CE3)</f>
        <v>72.011647893875363</v>
      </c>
      <c r="E9" s="146">
        <f t="shared" ca="1" si="0"/>
        <v>72.011647893875363</v>
      </c>
      <c r="F9" s="146">
        <f t="shared" ca="1" si="1"/>
        <v>12.616440711006963</v>
      </c>
      <c r="G9" s="146">
        <f ca="1">F9*(100%-'Données projet'!$C$24)*(100%-'Données projet'!$C$25)*(100%-'Données projet'!$C$26)*(100%-'Données projet'!$C$27)</f>
        <v>11.354796639906267</v>
      </c>
      <c r="H9" s="154">
        <f>IF(OR('Données projet'!B12="",'Données projet'!C12="",'Données projet'!C12=0%),0,AVERAGE(Calculateur!$CN$3:$CN$33)*B9)</f>
        <v>0</v>
      </c>
      <c r="I9" s="148">
        <f>H9*(100%-'Données projet'!$C$24)*(100%-'Données projet'!$C$25)*(100%-'Données projet'!$C$26)*(100%-'Données projet'!$C$27)</f>
        <v>0</v>
      </c>
      <c r="J9" s="149">
        <f>IF(OR('Données projet'!B12="",'Données projet'!C12="",'Données projet'!C12=0%),0,SUM(Calculateur!$CG$3:$CG$33)*VLOOKUP('Données projet'!$B$12,Paramètres!$A$1:$I$89,9,0)*B9)</f>
        <v>0</v>
      </c>
      <c r="K9" s="150">
        <f>J9*(100%-'Données projet'!$C$24)*(100%-'Données projet'!$C$25)*(100%-'Données projet'!$C$26)*(100%-'Données projet'!$C$27)</f>
        <v>0</v>
      </c>
      <c r="L9" s="151">
        <f t="shared" ca="1" si="2"/>
        <v>11.354796639906267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">
      <c r="A10" s="152" t="str">
        <f>IF('Données projet'!$B$13="","",'Données projet'!$B$13)</f>
        <v>Cormier</v>
      </c>
      <c r="B10" s="153">
        <f>'Données projet'!D13</f>
        <v>0.19439999999999999</v>
      </c>
      <c r="C10" s="146">
        <f ca="1">IF(OR('Données projet'!B13="",'Données projet'!C13="",'Données projet'!C13=0%),0,Calculateur!CY3)</f>
        <v>150.9416300233616</v>
      </c>
      <c r="D10" s="146">
        <f>IF(OR('Données projet'!B13="",'Données projet'!C13="",'Données projet'!C13=0%),0,Calculateur!CZ3)</f>
        <v>92.286636088269972</v>
      </c>
      <c r="E10" s="146">
        <f t="shared" ca="1" si="0"/>
        <v>92.286636088269972</v>
      </c>
      <c r="F10" s="146">
        <f t="shared" ca="1" si="1"/>
        <v>17.940522055559683</v>
      </c>
      <c r="G10" s="146">
        <f ca="1">F10*(100%-'Données projet'!$C$24)*(100%-'Données projet'!$C$25)*(100%-'Données projet'!$C$26)*(100%-'Données projet'!$C$27)</f>
        <v>16.146469850003715</v>
      </c>
      <c r="H10" s="154">
        <f>IF(OR('Données projet'!B13="",'Données projet'!C13="",'Données projet'!C13=0%),0,AVERAGE(Calculateur!$DI$3:$DI$33)*B10)</f>
        <v>0</v>
      </c>
      <c r="I10" s="148">
        <f>H10*(100%-'Données projet'!$C$24)*(100%-'Données projet'!$C$25)*(100%-'Données projet'!$C$26)*(100%-'Données projet'!$C$27)</f>
        <v>0</v>
      </c>
      <c r="J10" s="149">
        <f>IF(OR('Données projet'!B13="",'Données projet'!C13="",'Données projet'!C13=0%),0,SUM(Calculateur!$DB$3:$DB$33)*VLOOKUP('Données projet'!$B$13,Paramètres!$A$1:$I$89,9,0)*B10)</f>
        <v>0</v>
      </c>
      <c r="K10" s="150">
        <f>J10*(100%-'Données projet'!$C$24)*(100%-'Données projet'!$C$25)*(100%-'Données projet'!$C$26)*(100%-'Données projet'!$C$27)</f>
        <v>0</v>
      </c>
      <c r="L10" s="151">
        <f t="shared" ca="1" si="2"/>
        <v>16.146469850003715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">
      <c r="A11" s="152" t="str">
        <f>IF('Données projet'!$B$14="","",'Données projet'!$B$14)</f>
        <v>Pin laricio</v>
      </c>
      <c r="B11" s="153">
        <f>'Données projet'!D14</f>
        <v>9.2484000000000002</v>
      </c>
      <c r="C11" s="146">
        <f ca="1">IF(OR('Données projet'!B14="",'Données projet'!C14="",'Données projet'!C14=0%),0,Calculateur!DT3)</f>
        <v>249.22792522076639</v>
      </c>
      <c r="D11" s="146">
        <f>IF(OR('Données projet'!B14="",'Données projet'!C14="",'Données projet'!C14=0%),0,Calculateur!DU3)</f>
        <v>244.53725944480669</v>
      </c>
      <c r="E11" s="146">
        <f t="shared" ca="1" si="0"/>
        <v>244.53725944480669</v>
      </c>
      <c r="F11" s="146">
        <f t="shared" ca="1" si="1"/>
        <v>2261.5783902493504</v>
      </c>
      <c r="G11" s="146">
        <f ca="1">F11*(100%-'Données projet'!$C$24)*(100%-'Données projet'!$C$25)*(100%-'Données projet'!$C$26)*(100%-'Données projet'!$C$27)</f>
        <v>2035.4205512244155</v>
      </c>
      <c r="H11" s="154">
        <f>IF(OR('Données projet'!B14="",'Données projet'!C14="",'Données projet'!C14=0%),0,AVERAGE(Calculateur!$ED$3:$ED$33)*B11)</f>
        <v>51.645538137767922</v>
      </c>
      <c r="I11" s="148">
        <f>H11*(100%-'Données projet'!$C$24)*(100%-'Données projet'!$C$25)*(100%-'Données projet'!$C$26)*(100%-'Données projet'!$C$27)</f>
        <v>46.48098432399113</v>
      </c>
      <c r="J11" s="149">
        <f>IF(OR('Données projet'!B14="",'Données projet'!C14="",'Données projet'!C14=0%),0,SUM(Calculateur!$DW$3:$DW$33)*VLOOKUP('Données projet'!$B$14,Paramètres!$A$1:$I$89,9,0)*B11)</f>
        <v>425.51888400000001</v>
      </c>
      <c r="K11" s="150">
        <f>J11*(100%-'Données projet'!$C$24)*(100%-'Données projet'!$C$25)*(100%-'Données projet'!$C$26)*(100%-'Données projet'!$C$27)</f>
        <v>382.96699560000002</v>
      </c>
      <c r="L11" s="151">
        <f t="shared" ca="1" si="2"/>
        <v>2464.8685311484069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">
      <c r="A12" s="152" t="str">
        <f>IF('Données projet'!$B$15="","",'Données projet'!$B$15)</f>
        <v>Douglas</v>
      </c>
      <c r="B12" s="153">
        <f>'Données projet'!D15</f>
        <v>7.3752000000000004</v>
      </c>
      <c r="C12" s="146">
        <f ca="1">IF(OR('Données projet'!B15="",'Données projet'!C15="",'Données projet'!C15=0%),0,Calculateur!EO3)</f>
        <v>313.36787814924116</v>
      </c>
      <c r="D12" s="146">
        <f>IF(OR('Données projet'!B15="",'Données projet'!C15="",'Données projet'!C15=0%),0,Calculateur!EP3)</f>
        <v>438.72984487610216</v>
      </c>
      <c r="E12" s="146">
        <f t="shared" ca="1" si="0"/>
        <v>313.36787814924116</v>
      </c>
      <c r="F12" s="146">
        <f t="shared" ca="1" si="1"/>
        <v>2311.1507749262837</v>
      </c>
      <c r="G12" s="146">
        <f ca="1">F12*(100%-'Données projet'!$C$24)*(100%-'Données projet'!$C$25)*(100%-'Données projet'!$C$26)*(100%-'Données projet'!$C$27)</f>
        <v>2080.0356974336555</v>
      </c>
      <c r="H12" s="154">
        <f>IF(OR('Données projet'!B15="",'Données projet'!C15="",'Données projet'!C15=0%),0,AVERAGE(Calculateur!$EY$3:$EY$33)*B12)</f>
        <v>189.60255452381713</v>
      </c>
      <c r="I12" s="148">
        <f>H12*(100%-'Données projet'!$C$24)*(100%-'Données projet'!$C$25)*(100%-'Données projet'!$C$26)*(100%-'Données projet'!$C$27)</f>
        <v>170.64229907143542</v>
      </c>
      <c r="J12" s="149">
        <f>IF(OR('Données projet'!B15="",'Données projet'!C15="",'Données projet'!C15=0%),0,SUM(Calculateur!$ER$3:$ER$33)*VLOOKUP('Données projet'!$B$15,Paramètres!$A$1:$I$89,9,0)*B12)</f>
        <v>989.45683200000008</v>
      </c>
      <c r="K12" s="150">
        <f>J12*(100%-'Données projet'!$C$24)*(100%-'Données projet'!$C$25)*(100%-'Données projet'!$C$26)*(100%-'Données projet'!$C$27)</f>
        <v>890.51114880000011</v>
      </c>
      <c r="L12" s="151">
        <f t="shared" ca="1" si="2"/>
        <v>3141.1891453050912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">
      <c r="A13" s="152" t="str">
        <f>IF('Données projet'!$B$16="","",'Données projet'!$B$16)</f>
        <v/>
      </c>
      <c r="B13" s="153">
        <f>'Données projet'!D16</f>
        <v>0</v>
      </c>
      <c r="C13" s="146">
        <f>IF(OR('Données projet'!B16="",'Données projet'!C16="",'Données projet'!C16=0%),0,Calculateur!FJ3)</f>
        <v>0</v>
      </c>
      <c r="D13" s="146">
        <f>IF(OR('Données projet'!B16="",'Données projet'!C16="",'Données projet'!C16=0%),0,Calculateur!FK3)</f>
        <v>0</v>
      </c>
      <c r="E13" s="146">
        <f t="shared" si="0"/>
        <v>0</v>
      </c>
      <c r="F13" s="146">
        <f t="shared" si="1"/>
        <v>0</v>
      </c>
      <c r="G13" s="146">
        <f>F13*(100%-'Données projet'!$C$24)*(100%-'Données projet'!$C$25)*(100%-'Données projet'!$C$26)*(100%-'Données projet'!$C$27)</f>
        <v>0</v>
      </c>
      <c r="H13" s="154">
        <f>IF(OR('Données projet'!B16="",'Données projet'!C16="",'Données projet'!C16=0%),0,AVERAGE(Calculateur!$FT$3:$FT$33)*B13)</f>
        <v>0</v>
      </c>
      <c r="I13" s="148">
        <f>H13*(100%-'Données projet'!$C$24)*(100%-'Données projet'!$C$25)*(100%-'Données projet'!$C$26)*(100%-'Données projet'!$C$27)</f>
        <v>0</v>
      </c>
      <c r="J13" s="149">
        <f>IF(OR('Données projet'!C16="",'Données projet'!C16=0%),0,SUM(Calculateur!$FM$3:$FM$33)*VLOOKUP('Données projet'!$B$16,Paramètres!$A$1:$I$89,9,0)*B13)</f>
        <v>0</v>
      </c>
      <c r="K13" s="150">
        <f>J13*(100%-'Données projet'!$C$24)*(100%-'Données projet'!$C$25)*(100%-'Données projet'!$C$26)*(100%-'Données projet'!$C$27)</f>
        <v>0</v>
      </c>
      <c r="L13" s="151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">
      <c r="A14" s="152" t="str">
        <f>IF('Données projet'!$B$17="","",'Données projet'!$B$17)</f>
        <v/>
      </c>
      <c r="B14" s="153">
        <f>'Données projet'!D17</f>
        <v>0</v>
      </c>
      <c r="C14" s="146">
        <f>IF(OR('Données projet'!B17="",'Données projet'!C17="",'Données projet'!C17=0%),0,Calculateur!GE3)</f>
        <v>0</v>
      </c>
      <c r="D14" s="146">
        <f>IF(OR('Données projet'!B17="",'Données projet'!C17="",'Données projet'!C17=0%),0,Calculateur!GF3)</f>
        <v>0</v>
      </c>
      <c r="E14" s="146">
        <f t="shared" si="0"/>
        <v>0</v>
      </c>
      <c r="F14" s="146">
        <f t="shared" si="1"/>
        <v>0</v>
      </c>
      <c r="G14" s="146">
        <f>F14*(100%-'Données projet'!$C$24)*(100%-'Données projet'!$C$25)*(100%-'Données projet'!$C$26)*(100%-'Données projet'!$C$27)</f>
        <v>0</v>
      </c>
      <c r="H14" s="154">
        <f>IF(OR('Données projet'!B17="",'Données projet'!C17="",'Données projet'!C17=0%),0,AVERAGE(Calculateur!$GO$3:$GO$33)*B14)</f>
        <v>0</v>
      </c>
      <c r="I14" s="148">
        <f>H14*(100%-'Données projet'!$C$24)*(100%-'Données projet'!$C$25)*(100%-'Données projet'!$C$26)*(100%-'Données projet'!$C$27)</f>
        <v>0</v>
      </c>
      <c r="J14" s="149">
        <f>IF(OR('Données projet'!B17="",'Données projet'!C17="",'Données projet'!C17=0%),0,SUM(Calculateur!$GH$3:$GH$33)*VLOOKUP('Données projet'!$B$17,Paramètres!$A$1:$I$89,9,0)*B14)</f>
        <v>0</v>
      </c>
      <c r="K14" s="150">
        <f>J14*(100%-'Données projet'!$C$24)*(100%-'Données projet'!$C$25)*(100%-'Données projet'!$C$26)*(100%-'Données projet'!$C$27)</f>
        <v>0</v>
      </c>
      <c r="L14" s="151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6" thickBot="1" x14ac:dyDescent="0.25">
      <c r="A15" s="155" t="str">
        <f>IF('Données projet'!B18="","",'Données projet'!B18)</f>
        <v/>
      </c>
      <c r="B15" s="156">
        <f>'Données projet'!D18</f>
        <v>0</v>
      </c>
      <c r="C15" s="157">
        <f>IF(OR('Données projet'!B18="",'Données projet'!C18="",'Données projet'!C18=0%),0,Calculateur!GZ3)</f>
        <v>0</v>
      </c>
      <c r="D15" s="157">
        <f>IF(OR('Données projet'!B18="",'Données projet'!C18="",'Données projet'!C18=0%),0,Calculateur!HA3)</f>
        <v>0</v>
      </c>
      <c r="E15" s="157">
        <f t="shared" si="0"/>
        <v>0</v>
      </c>
      <c r="F15" s="158">
        <f t="shared" si="1"/>
        <v>0</v>
      </c>
      <c r="G15" s="158">
        <f>F15*(100%-'Données projet'!$C$24)*(100%-'Données projet'!$C$25)*(100%-'Données projet'!$C$26)*(100%-'Données projet'!$C$27)</f>
        <v>0</v>
      </c>
      <c r="H15" s="159">
        <f>IF(OR('Données projet'!B18="",'Données projet'!C18="",'Données projet'!C18=0%),0,AVERAGE(Calculateur!$HJ$3:$HJ$33)*B15)</f>
        <v>0</v>
      </c>
      <c r="I15" s="160">
        <f>H15*(100%-'Données projet'!$C$24)*(100%-'Données projet'!$C$25)*(100%-'Données projet'!$C$26)*(100%-'Données projet'!$C$27)</f>
        <v>0</v>
      </c>
      <c r="J15" s="161">
        <f>IF(OR('Données projet'!B18="",'Données projet'!C18="",'Données projet'!C18=0%),0,SUM(Calculateur!$HC$3:$HC$33)*VLOOKUP('Données projet'!$B$18,Paramètres!$A$1:$I$89,9,0)*B15)</f>
        <v>0</v>
      </c>
      <c r="K15" s="162">
        <f>J15*(100%-'Données projet'!$C$24)*(100%-'Données projet'!$C$25)*(100%-'Données projet'!$C$26)*(100%-'Données projet'!$C$27)</f>
        <v>0</v>
      </c>
      <c r="L15" s="163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6" thickBot="1" x14ac:dyDescent="0.25">
      <c r="A16" s="208"/>
      <c r="B16" s="212"/>
      <c r="C16" s="213"/>
      <c r="D16" s="23"/>
      <c r="E16" s="23"/>
      <c r="F16" s="164">
        <f t="shared" ref="F16:L16" ca="1" si="3">SUM(F6:F15)</f>
        <v>5111.8199230284463</v>
      </c>
      <c r="G16" s="165">
        <f t="shared" ca="1" si="3"/>
        <v>4600.6379307256011</v>
      </c>
      <c r="H16" s="166">
        <f t="shared" si="3"/>
        <v>241.24809266158505</v>
      </c>
      <c r="I16" s="166">
        <f t="shared" si="3"/>
        <v>217.12328339542654</v>
      </c>
      <c r="J16" s="167">
        <f t="shared" si="3"/>
        <v>1414.9757160000001</v>
      </c>
      <c r="K16" s="167">
        <f t="shared" si="3"/>
        <v>1273.4781444</v>
      </c>
      <c r="L16" s="168">
        <f t="shared" ca="1" si="3"/>
        <v>6091.2393585210284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">
      <c r="A17" s="208"/>
      <c r="B17" s="212"/>
      <c r="C17" s="213"/>
      <c r="D17" s="23"/>
      <c r="E17" s="23"/>
      <c r="F17" s="285" t="s">
        <v>246</v>
      </c>
      <c r="G17" s="286"/>
      <c r="H17" s="286"/>
      <c r="I17" s="286"/>
      <c r="J17" s="286"/>
      <c r="K17" s="286"/>
      <c r="L17" s="286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">
      <c r="A18" s="208"/>
      <c r="B18" s="212"/>
      <c r="C18" s="213"/>
      <c r="D18" s="23"/>
      <c r="E18" s="23"/>
      <c r="F18" s="272"/>
      <c r="G18" s="272"/>
      <c r="H18" s="272"/>
      <c r="I18" s="272"/>
      <c r="J18" s="272"/>
      <c r="K18" s="272"/>
      <c r="L18" s="272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6" thickBot="1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6" thickBot="1" x14ac:dyDescent="0.25">
      <c r="A21" s="169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6" thickBot="1" x14ac:dyDescent="0.2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6" thickBot="1" x14ac:dyDescent="0.25">
      <c r="A39" s="169" t="str">
        <f>A7</f>
        <v>Cormier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6" thickBot="1" x14ac:dyDescent="0.2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6" thickBot="1" x14ac:dyDescent="0.25">
      <c r="A57" s="169" t="str">
        <f>A8</f>
        <v>Alisier Torminal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6" thickBot="1" x14ac:dyDescent="0.2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6" thickBot="1" x14ac:dyDescent="0.25">
      <c r="A76" s="169" t="str">
        <f>A9</f>
        <v>Chêne sessile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6" thickBot="1" x14ac:dyDescent="0.2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6" thickBot="1" x14ac:dyDescent="0.25">
      <c r="A94" s="169" t="str">
        <f>A10</f>
        <v>Cormier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6" thickBot="1" x14ac:dyDescent="0.2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6" thickBot="1" x14ac:dyDescent="0.25">
      <c r="A112" s="169" t="str">
        <f>A11</f>
        <v>Pin laricio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6" thickBot="1" x14ac:dyDescent="0.2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6" thickBot="1" x14ac:dyDescent="0.25">
      <c r="A130" s="169" t="str">
        <f>A12</f>
        <v>Douglas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6" thickBot="1" x14ac:dyDescent="0.2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6" thickBot="1" x14ac:dyDescent="0.25">
      <c r="A148" s="169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6" thickBot="1" x14ac:dyDescent="0.2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6" thickBot="1" x14ac:dyDescent="0.25">
      <c r="A166" s="169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6" thickBot="1" x14ac:dyDescent="0.2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6" thickBot="1" x14ac:dyDescent="0.25">
      <c r="A184" s="169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K1" zoomScale="80" zoomScaleNormal="80" workbookViewId="0">
      <selection activeCell="S37" sqref="S37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1" customWidth="1"/>
    <col min="7" max="7" width="17.5" style="1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35">
      <c r="A2" s="4"/>
      <c r="B2" s="273" t="s">
        <v>272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5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">
      <c r="A3" s="4"/>
      <c r="B3" s="4"/>
      <c r="C3" s="4"/>
      <c r="D3" s="4"/>
      <c r="E3" s="4"/>
      <c r="F3" s="4"/>
      <c r="G3" s="4"/>
      <c r="H3" s="170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">
      <c r="A4" s="4"/>
      <c r="B4" s="4"/>
      <c r="C4" s="4"/>
      <c r="D4" s="4"/>
      <c r="E4" s="4"/>
      <c r="G4" s="4"/>
      <c r="H4" s="259" t="s">
        <v>315</v>
      </c>
      <c r="I4" s="259"/>
      <c r="K4" s="301" t="s">
        <v>253</v>
      </c>
      <c r="L4" s="302"/>
      <c r="M4" s="236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6" thickBot="1" x14ac:dyDescent="0.25">
      <c r="A6" s="4"/>
      <c r="B6" s="4"/>
      <c r="C6" s="4"/>
      <c r="D6" s="4"/>
      <c r="E6" s="4"/>
      <c r="F6" s="23"/>
      <c r="G6" s="4"/>
      <c r="H6" s="171"/>
      <c r="I6" s="171"/>
      <c r="J6" s="171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35">
      <c r="A7" s="241"/>
      <c r="B7" s="242"/>
      <c r="C7" s="242"/>
      <c r="D7" s="242"/>
      <c r="E7" s="243"/>
      <c r="F7" s="243" t="s">
        <v>192</v>
      </c>
      <c r="G7" s="244"/>
      <c r="H7" s="242"/>
      <c r="I7" s="242"/>
      <c r="J7" s="245"/>
      <c r="K7" s="239"/>
      <c r="L7" s="240"/>
      <c r="M7" s="240"/>
      <c r="N7" s="246" t="s">
        <v>191</v>
      </c>
      <c r="O7" s="246"/>
      <c r="P7" s="247"/>
      <c r="Q7" s="248"/>
      <c r="R7" s="293" t="s">
        <v>310</v>
      </c>
      <c r="S7" s="294"/>
      <c r="T7" s="294"/>
      <c r="U7" s="294"/>
      <c r="V7" s="295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">
      <c r="A8" s="23"/>
      <c r="C8" s="23"/>
      <c r="D8" s="23"/>
      <c r="E8" s="23"/>
      <c r="F8" s="23"/>
      <c r="G8" s="23"/>
      <c r="H8" s="4"/>
      <c r="I8" s="4"/>
      <c r="J8" s="199"/>
      <c r="K8" s="207"/>
      <c r="L8" s="23"/>
      <c r="M8" s="23"/>
      <c r="N8" s="23"/>
      <c r="O8" s="23"/>
      <c r="P8" s="23"/>
      <c r="Q8" s="233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">
      <c r="A9" s="92" t="s">
        <v>311</v>
      </c>
      <c r="C9" s="23"/>
      <c r="D9" s="23"/>
      <c r="E9" s="23"/>
      <c r="F9" s="229"/>
      <c r="G9" s="92" t="s">
        <v>314</v>
      </c>
      <c r="J9" s="199"/>
      <c r="K9" s="207"/>
      <c r="O9" s="23"/>
      <c r="P9" s="23"/>
      <c r="Q9" s="233"/>
      <c r="R9" s="23"/>
      <c r="S9" s="4"/>
      <c r="T9" s="36" t="s">
        <v>262</v>
      </c>
      <c r="U9" s="175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">
      <c r="A10" s="92" t="s">
        <v>317</v>
      </c>
      <c r="C10" s="23"/>
      <c r="D10" s="23"/>
      <c r="E10" s="23"/>
      <c r="F10" s="229"/>
      <c r="G10" s="92" t="s">
        <v>316</v>
      </c>
      <c r="J10" s="199"/>
      <c r="K10" s="207"/>
      <c r="O10" s="23"/>
      <c r="P10" s="23"/>
      <c r="Q10" s="233"/>
      <c r="R10" s="23"/>
      <c r="S10" s="36" t="str">
        <f>B14</f>
        <v>Chêne sessile</v>
      </c>
      <c r="T10" s="176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-2662.2734315380726</v>
      </c>
      <c r="U10" s="177">
        <f>'Données projet'!D9</f>
        <v>6.7320000000000011</v>
      </c>
      <c r="V10" s="176">
        <f>U10*T10</f>
        <v>-17922.424741114308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">
      <c r="A11" s="92" t="s">
        <v>312</v>
      </c>
      <c r="B11" s="23"/>
      <c r="C11" s="23"/>
      <c r="D11" s="23"/>
      <c r="E11" s="23"/>
      <c r="F11" s="229"/>
      <c r="G11" s="92" t="s">
        <v>313</v>
      </c>
      <c r="J11" s="199"/>
      <c r="K11" s="207"/>
      <c r="M11" s="4"/>
      <c r="N11" s="4"/>
      <c r="O11" s="23"/>
      <c r="P11" s="23"/>
      <c r="Q11" s="233"/>
      <c r="R11" s="23"/>
      <c r="S11" s="36" t="str">
        <f>B45</f>
        <v>Cormier</v>
      </c>
      <c r="T11" s="23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-4478.6516672861362</v>
      </c>
      <c r="U11" s="177">
        <f>'Données projet'!D10</f>
        <v>0.15000000000000002</v>
      </c>
      <c r="V11" s="176">
        <f t="shared" ref="V11" si="0">U11*T11</f>
        <v>-671.79775009292052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">
      <c r="B12" s="23"/>
      <c r="C12" s="23"/>
      <c r="D12" s="23"/>
      <c r="E12" s="23"/>
      <c r="F12" s="229"/>
      <c r="J12" s="199"/>
      <c r="K12" s="207"/>
      <c r="L12" s="201"/>
      <c r="M12" s="23"/>
      <c r="N12" s="23"/>
      <c r="O12" s="23"/>
      <c r="P12" s="23"/>
      <c r="Q12" s="233"/>
      <c r="R12" s="23"/>
      <c r="S12" s="36" t="str">
        <f>B76</f>
        <v>Alisier Torminal</v>
      </c>
      <c r="T12" s="23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-2222.6629779976347</v>
      </c>
      <c r="U12" s="177">
        <f>'Données projet'!D11</f>
        <v>0.12479999999999999</v>
      </c>
      <c r="V12" s="176">
        <f t="shared" ref="V12:V19" si="1">U12*T12</f>
        <v>-277.38833965410481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">
      <c r="B13" s="23"/>
      <c r="C13" s="23"/>
      <c r="D13" s="23"/>
      <c r="E13" s="23"/>
      <c r="F13" s="229"/>
      <c r="J13" s="23"/>
      <c r="K13" s="207"/>
      <c r="L13" s="92" t="s">
        <v>257</v>
      </c>
      <c r="M13" s="23"/>
      <c r="N13" s="23"/>
      <c r="O13" s="23"/>
      <c r="P13" s="23"/>
      <c r="Q13" s="233"/>
      <c r="R13" s="23"/>
      <c r="S13" s="36" t="str">
        <f>B107</f>
        <v>Chêne sessile</v>
      </c>
      <c r="T13" s="23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-2205.9774601451386</v>
      </c>
      <c r="U13" s="177">
        <f>'Données projet'!D12</f>
        <v>0.17519999999999999</v>
      </c>
      <c r="V13" s="176">
        <f t="shared" si="1"/>
        <v>-386.48725101742826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">
      <c r="A14" s="46" t="s">
        <v>165</v>
      </c>
      <c r="B14" s="173" t="str">
        <f>IF('Données projet'!$B$9="","",'Données projet'!$B$9)</f>
        <v>Chêne sessile</v>
      </c>
      <c r="C14" s="4"/>
      <c r="D14" s="4"/>
      <c r="E14" s="4"/>
      <c r="F14" s="229"/>
      <c r="G14" s="23"/>
      <c r="H14" s="36" t="s">
        <v>178</v>
      </c>
      <c r="I14" s="36" t="s">
        <v>290</v>
      </c>
      <c r="J14" s="200"/>
      <c r="K14" s="172"/>
      <c r="L14" s="201"/>
      <c r="M14" s="23"/>
      <c r="N14" s="23"/>
      <c r="O14" s="4"/>
      <c r="P14" s="4"/>
      <c r="Q14" s="234"/>
      <c r="R14" s="4"/>
      <c r="S14" s="36" t="str">
        <f>B138</f>
        <v>Cormier</v>
      </c>
      <c r="T14" s="23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-2029.9774601451384</v>
      </c>
      <c r="U14" s="177">
        <f>'Données projet'!D13</f>
        <v>0.19439999999999999</v>
      </c>
      <c r="V14" s="176">
        <f t="shared" si="1"/>
        <v>-394.62761825221486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">
      <c r="A15" s="4"/>
      <c r="B15" s="4"/>
      <c r="C15" s="4"/>
      <c r="D15" s="4"/>
      <c r="E15" s="4"/>
      <c r="F15" s="229"/>
      <c r="G15" s="304" t="s">
        <v>318</v>
      </c>
      <c r="H15" s="189"/>
      <c r="I15" s="190"/>
      <c r="J15" s="201"/>
      <c r="K15" s="207"/>
      <c r="L15" s="201"/>
      <c r="M15" s="23"/>
      <c r="N15" s="23"/>
      <c r="O15" s="23"/>
      <c r="P15" s="23"/>
      <c r="Q15" s="233"/>
      <c r="R15" s="23"/>
      <c r="S15" s="36" t="str">
        <f>B169</f>
        <v>Pin laricio</v>
      </c>
      <c r="T15" s="23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-1125.9624415572014</v>
      </c>
      <c r="U15" s="177">
        <f>'Données projet'!D14</f>
        <v>9.2484000000000002</v>
      </c>
      <c r="V15" s="176">
        <f t="shared" si="1"/>
        <v>-10413.351044497622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9"/>
      <c r="G16" s="304"/>
      <c r="H16" s="189"/>
      <c r="I16" s="190"/>
      <c r="J16" s="201"/>
      <c r="K16" s="207"/>
      <c r="L16" s="301" t="s">
        <v>254</v>
      </c>
      <c r="M16" s="302"/>
      <c r="N16" s="2">
        <v>30</v>
      </c>
      <c r="O16" s="23"/>
      <c r="P16" s="23"/>
      <c r="Q16" s="233"/>
      <c r="R16" s="23"/>
      <c r="S16" s="36" t="str">
        <f>B200</f>
        <v>Douglas</v>
      </c>
      <c r="T16" s="23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8116.7247251444414</v>
      </c>
      <c r="U16" s="177">
        <f>'Données projet'!D15</f>
        <v>7.3752000000000004</v>
      </c>
      <c r="V16" s="176">
        <f t="shared" si="1"/>
        <v>59862.468192885288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ht="16" x14ac:dyDescent="0.2">
      <c r="A17" s="49">
        <v>0</v>
      </c>
      <c r="B17" s="198" t="s">
        <v>132</v>
      </c>
      <c r="C17" s="197" t="s">
        <v>132</v>
      </c>
      <c r="D17" s="196" t="s">
        <v>132</v>
      </c>
      <c r="E17" s="192">
        <v>3423</v>
      </c>
      <c r="F17" s="229"/>
      <c r="G17" s="304"/>
      <c r="J17" s="201"/>
      <c r="K17" s="207"/>
      <c r="L17" s="261" t="s">
        <v>289</v>
      </c>
      <c r="M17" s="263"/>
      <c r="N17" s="174">
        <f>VLOOKUP(N16,Calculateur!$A$2:$H$153,3,0)/VLOOKUP('Scénario référence'!$G$15,Paramètres!A1:I89,3,0)/VLOOKUP('Scénario référence'!$G$15,Paramètres!A1:I89,5,0)</f>
        <v>29.999999999999993</v>
      </c>
      <c r="O17" s="23"/>
      <c r="P17" s="23"/>
      <c r="Q17" s="233"/>
      <c r="R17" s="23"/>
      <c r="S17" s="36" t="str">
        <f>B231</f>
        <v/>
      </c>
      <c r="T17" s="23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7">
        <f>'Données projet'!D16</f>
        <v>0</v>
      </c>
      <c r="V17" s="176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ht="16" x14ac:dyDescent="0.2">
      <c r="A18" s="49">
        <v>1</v>
      </c>
      <c r="B18" s="198" t="s">
        <v>132</v>
      </c>
      <c r="C18" s="197" t="s">
        <v>132</v>
      </c>
      <c r="D18" s="196" t="s">
        <v>132</v>
      </c>
      <c r="E18" s="192"/>
      <c r="F18" s="229"/>
      <c r="G18" s="304"/>
      <c r="J18" s="201"/>
      <c r="K18" s="207"/>
      <c r="L18" s="261" t="s">
        <v>255</v>
      </c>
      <c r="M18" s="263"/>
      <c r="N18" s="191">
        <v>10</v>
      </c>
      <c r="O18" s="23"/>
      <c r="P18" s="23"/>
      <c r="Q18" s="233"/>
      <c r="R18" s="23"/>
      <c r="S18" s="36" t="str">
        <f>B262</f>
        <v/>
      </c>
      <c r="T18" s="23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7">
        <f>'Données projet'!D17</f>
        <v>0</v>
      </c>
      <c r="V18" s="176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">
      <c r="A19" s="49">
        <v>2</v>
      </c>
      <c r="B19" s="198" t="s">
        <v>132</v>
      </c>
      <c r="C19" s="197" t="s">
        <v>132</v>
      </c>
      <c r="D19" s="196" t="s">
        <v>132</v>
      </c>
      <c r="E19" s="192"/>
      <c r="F19" s="229"/>
      <c r="G19" s="304"/>
      <c r="H19" s="211" t="s">
        <v>178</v>
      </c>
      <c r="I19" s="211" t="s">
        <v>287</v>
      </c>
      <c r="J19" s="92"/>
      <c r="K19" s="172"/>
      <c r="L19" s="301" t="s">
        <v>288</v>
      </c>
      <c r="M19" s="302"/>
      <c r="N19" s="178">
        <f>N17*N18</f>
        <v>299.99999999999994</v>
      </c>
      <c r="O19" s="23"/>
      <c r="P19" s="4"/>
      <c r="Q19" s="234"/>
      <c r="R19" s="4"/>
      <c r="S19" s="36" t="str">
        <f>B293</f>
        <v/>
      </c>
      <c r="T19" s="23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7">
        <f>'Données projet'!D18</f>
        <v>0</v>
      </c>
      <c r="V19" s="176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ht="16" x14ac:dyDescent="0.2">
      <c r="A20" s="49">
        <v>3</v>
      </c>
      <c r="B20" s="198" t="s">
        <v>132</v>
      </c>
      <c r="C20" s="197" t="s">
        <v>132</v>
      </c>
      <c r="D20" s="196" t="s">
        <v>132</v>
      </c>
      <c r="E20" s="192"/>
      <c r="F20" s="229"/>
      <c r="G20" s="304"/>
      <c r="H20" s="189">
        <v>0</v>
      </c>
      <c r="I20" s="190">
        <v>3233.98</v>
      </c>
      <c r="J20" s="4"/>
      <c r="K20" s="172"/>
      <c r="O20" s="23"/>
      <c r="P20" s="4"/>
      <c r="Q20" s="234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ht="16" x14ac:dyDescent="0.2">
      <c r="A21" s="49">
        <v>4</v>
      </c>
      <c r="B21" s="198" t="s">
        <v>132</v>
      </c>
      <c r="C21" s="197" t="s">
        <v>132</v>
      </c>
      <c r="D21" s="196" t="s">
        <v>132</v>
      </c>
      <c r="E21" s="192"/>
      <c r="F21" s="229"/>
      <c r="H21" s="189">
        <v>1</v>
      </c>
      <c r="I21" s="190">
        <v>662.5</v>
      </c>
      <c r="K21" s="172"/>
      <c r="O21" s="23"/>
      <c r="P21" s="4"/>
      <c r="Q21" s="234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">
      <c r="A22" s="49">
        <v>5</v>
      </c>
      <c r="B22" s="198" t="s">
        <v>132</v>
      </c>
      <c r="C22" s="197" t="s">
        <v>132</v>
      </c>
      <c r="D22" s="196" t="s">
        <v>132</v>
      </c>
      <c r="E22" s="192"/>
      <c r="F22" s="229"/>
      <c r="H22" s="189">
        <v>2</v>
      </c>
      <c r="I22" s="190">
        <v>145.83000000000001</v>
      </c>
      <c r="K22" s="172"/>
      <c r="O22" s="23"/>
      <c r="P22" s="4"/>
      <c r="Q22" s="234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">
      <c r="A23" s="179">
        <f>'Données projet'!A36</f>
        <v>25</v>
      </c>
      <c r="B23" s="180">
        <f>'Données projet'!D36</f>
        <v>0</v>
      </c>
      <c r="C23" s="192">
        <f>'Données projet'!E36*150+SUM('Données projet'!F36:G36)*13.8+'Données projet'!H36*10</f>
        <v>10</v>
      </c>
      <c r="D23" s="181">
        <f>B23*C23</f>
        <v>0</v>
      </c>
      <c r="E23" s="192"/>
      <c r="F23" s="229"/>
      <c r="H23" s="189">
        <v>3</v>
      </c>
      <c r="I23" s="190">
        <v>645.83000000000004</v>
      </c>
      <c r="K23" s="207"/>
      <c r="L23" s="303" t="s">
        <v>260</v>
      </c>
      <c r="M23" s="303"/>
      <c r="N23" s="303"/>
      <c r="O23" s="23"/>
      <c r="P23" s="23"/>
      <c r="Q23" s="233"/>
      <c r="R23" s="23"/>
      <c r="S23" s="36" t="s">
        <v>264</v>
      </c>
      <c r="T23" s="29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-89884.684509704108</v>
      </c>
      <c r="U23" s="298"/>
      <c r="V23" s="298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">
      <c r="A24" s="179">
        <f>'Données projet'!A37</f>
        <v>30</v>
      </c>
      <c r="B24" s="180">
        <f>'Données projet'!D37</f>
        <v>0</v>
      </c>
      <c r="C24" s="192">
        <f>'Données projet'!E37*150+SUM('Données projet'!F37:G37)*13.8+'Données projet'!H37*10</f>
        <v>10</v>
      </c>
      <c r="D24" s="181">
        <f t="shared" ref="D24:D42" si="2">B24*C24</f>
        <v>0</v>
      </c>
      <c r="E24" s="192"/>
      <c r="F24" s="232"/>
      <c r="H24" s="189">
        <v>4</v>
      </c>
      <c r="I24" s="190">
        <v>500</v>
      </c>
      <c r="K24" s="207"/>
      <c r="O24" s="23"/>
      <c r="P24" s="23"/>
      <c r="Q24" s="233"/>
      <c r="R24" s="23"/>
      <c r="S24" s="36" t="s">
        <v>261</v>
      </c>
      <c r="T24" s="299">
        <f ca="1">'Scénario référence'!$B$8*$M$30*'Données projet'!$C$5+('Scénario référence'!B9+'Scénario référence'!B10+'Scénario référence'!F8+'Scénario référence'!F9)*$N$19/(1+M4)^N16*'Données projet'!$C$5</f>
        <v>1922.4001116504214</v>
      </c>
      <c r="U24" s="299"/>
      <c r="V24" s="299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">
      <c r="A25" s="179">
        <f>'Données projet'!A38</f>
        <v>35</v>
      </c>
      <c r="B25" s="180">
        <f>'Données projet'!D38</f>
        <v>13</v>
      </c>
      <c r="C25" s="192">
        <f>'Données projet'!E38*150+SUM('Données projet'!F38:G38)*13.8+'Données projet'!H38*10</f>
        <v>10</v>
      </c>
      <c r="D25" s="181">
        <f t="shared" si="2"/>
        <v>130</v>
      </c>
      <c r="E25" s="192"/>
      <c r="F25" s="232"/>
      <c r="H25" s="189">
        <v>5</v>
      </c>
      <c r="I25" s="190"/>
      <c r="K25" s="207"/>
      <c r="L25" s="129" t="s">
        <v>285</v>
      </c>
      <c r="M25" s="129"/>
      <c r="N25" s="129"/>
      <c r="O25" s="129"/>
      <c r="P25" s="191"/>
      <c r="Q25" s="233"/>
      <c r="R25" s="23"/>
      <c r="S25" s="185" t="s">
        <v>266</v>
      </c>
      <c r="T25" s="300">
        <f ca="1">T23-T24</f>
        <v>-91807.08462135453</v>
      </c>
      <c r="U25" s="300"/>
      <c r="V25" s="300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">
      <c r="A26" s="179">
        <f>'Données projet'!A39</f>
        <v>40</v>
      </c>
      <c r="B26" s="180">
        <f>'Données projet'!D39</f>
        <v>14</v>
      </c>
      <c r="C26" s="192">
        <f>'Données projet'!E39*150+SUM('Données projet'!F39:G39)*13.8+'Données projet'!H39*10</f>
        <v>38</v>
      </c>
      <c r="D26" s="181">
        <f t="shared" si="2"/>
        <v>532</v>
      </c>
      <c r="E26" s="192"/>
      <c r="F26" s="232"/>
      <c r="G26" s="228"/>
      <c r="H26" s="189"/>
      <c r="I26" s="190"/>
      <c r="K26" s="207"/>
      <c r="L26" s="287" t="s">
        <v>258</v>
      </c>
      <c r="M26" s="288"/>
      <c r="N26" s="288"/>
      <c r="O26" s="288"/>
      <c r="P26" s="289"/>
      <c r="Q26" s="233"/>
      <c r="R26" s="23"/>
      <c r="S26" s="185" t="s">
        <v>265</v>
      </c>
      <c r="T26" s="297" t="str">
        <f ca="1">IF(T25&lt;0,"Votre projet est additionnel","Votre projet n'est pas additionnel")</f>
        <v>Votre projet est additionnel</v>
      </c>
      <c r="U26" s="297"/>
      <c r="V26" s="297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">
      <c r="A27" s="179">
        <f>'Données projet'!A40</f>
        <v>45</v>
      </c>
      <c r="B27" s="180">
        <f>'Données projet'!D40</f>
        <v>14</v>
      </c>
      <c r="C27" s="192">
        <f>'Données projet'!E40*150+SUM('Données projet'!F40:G40)*13.8+'Données projet'!H40*10</f>
        <v>38</v>
      </c>
      <c r="D27" s="181">
        <f t="shared" si="2"/>
        <v>532</v>
      </c>
      <c r="E27" s="192"/>
      <c r="F27" s="232"/>
      <c r="G27" s="228"/>
      <c r="H27" s="189"/>
      <c r="I27" s="190"/>
      <c r="K27" s="207"/>
      <c r="L27" s="290"/>
      <c r="M27" s="291"/>
      <c r="N27" s="291"/>
      <c r="O27" s="291"/>
      <c r="P27" s="292"/>
      <c r="Q27" s="233"/>
      <c r="R27" s="23"/>
      <c r="S27" s="296" t="s">
        <v>267</v>
      </c>
      <c r="T27" s="296"/>
      <c r="U27" s="296"/>
      <c r="V27" s="296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">
      <c r="A28" s="179">
        <f>'Données projet'!A41</f>
        <v>50</v>
      </c>
      <c r="B28" s="180">
        <f>'Données projet'!D41</f>
        <v>14</v>
      </c>
      <c r="C28" s="192">
        <f>'Données projet'!E41*150+SUM('Données projet'!F41:G41)*13.8+'Données projet'!H41*10</f>
        <v>38</v>
      </c>
      <c r="D28" s="181">
        <f t="shared" si="2"/>
        <v>532</v>
      </c>
      <c r="E28" s="192"/>
      <c r="F28" s="232"/>
      <c r="G28" s="204"/>
      <c r="H28" s="189"/>
      <c r="I28" s="190"/>
      <c r="K28" s="207"/>
      <c r="Q28" s="233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">
      <c r="A29" s="179">
        <f>'Données projet'!A42</f>
        <v>55</v>
      </c>
      <c r="B29" s="180">
        <f>'Données projet'!D42</f>
        <v>14</v>
      </c>
      <c r="C29" s="192">
        <f>'Données projet'!E42*150+SUM('Données projet'!F42:G42)*13.8+'Données projet'!H42*10</f>
        <v>52</v>
      </c>
      <c r="D29" s="181">
        <f t="shared" si="2"/>
        <v>728</v>
      </c>
      <c r="E29" s="192"/>
      <c r="F29" s="232"/>
      <c r="G29" s="202"/>
      <c r="H29" s="189"/>
      <c r="I29" s="190"/>
      <c r="K29" s="207"/>
      <c r="O29" s="23"/>
      <c r="P29" s="23"/>
      <c r="Q29" s="233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">
      <c r="A30" s="179">
        <f>'Données projet'!A43</f>
        <v>60</v>
      </c>
      <c r="B30" s="180">
        <f>'Données projet'!D43</f>
        <v>14</v>
      </c>
      <c r="C30" s="192">
        <f>'Données projet'!E43*150+SUM('Données projet'!F43:G43)*13.8+'Données projet'!H43*10</f>
        <v>52</v>
      </c>
      <c r="D30" s="181">
        <f t="shared" si="2"/>
        <v>728</v>
      </c>
      <c r="E30" s="192"/>
      <c r="F30" s="232"/>
      <c r="G30" s="202"/>
      <c r="H30" s="189"/>
      <c r="I30" s="190"/>
      <c r="K30" s="182"/>
      <c r="L30" s="36" t="s">
        <v>259</v>
      </c>
      <c r="M30" s="183">
        <f ca="1">SUM(OFFSET($P$33,0,0,MIN('Données projet'!$E$9:$E$18)+1,1))</f>
        <v>0</v>
      </c>
      <c r="O30" s="4"/>
      <c r="P30" s="4"/>
      <c r="Q30" s="234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">
      <c r="A31" s="179">
        <f>'Données projet'!A44</f>
        <v>65</v>
      </c>
      <c r="B31" s="180">
        <f>'Données projet'!D44</f>
        <v>14</v>
      </c>
      <c r="C31" s="192">
        <f>'Données projet'!E44*150+SUM('Données projet'!F44:G44)*13.8+'Données projet'!H44*10</f>
        <v>66</v>
      </c>
      <c r="D31" s="181">
        <f t="shared" si="2"/>
        <v>924</v>
      </c>
      <c r="E31" s="192"/>
      <c r="F31" s="232"/>
      <c r="G31" s="202"/>
      <c r="H31" s="189"/>
      <c r="I31" s="190"/>
      <c r="K31" s="172"/>
      <c r="Q31" s="233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">
      <c r="A32" s="179">
        <f>'Données projet'!A45</f>
        <v>70</v>
      </c>
      <c r="B32" s="180">
        <f>'Données projet'!D45</f>
        <v>14</v>
      </c>
      <c r="C32" s="192">
        <f>'Données projet'!E45*150+SUM('Données projet'!F45:G45)*13.8+'Données projet'!H45*10</f>
        <v>66</v>
      </c>
      <c r="D32" s="181">
        <f t="shared" si="2"/>
        <v>924</v>
      </c>
      <c r="E32" s="192"/>
      <c r="F32" s="232"/>
      <c r="G32" s="202"/>
      <c r="H32" s="189"/>
      <c r="I32" s="190"/>
      <c r="K32" s="172"/>
      <c r="N32" s="4"/>
      <c r="O32" s="85" t="s">
        <v>178</v>
      </c>
      <c r="P32" s="85" t="s">
        <v>252</v>
      </c>
      <c r="Q32" s="233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">
      <c r="A33" s="179">
        <f>'Données projet'!A46</f>
        <v>75</v>
      </c>
      <c r="B33" s="180">
        <f>'Données projet'!D46</f>
        <v>14</v>
      </c>
      <c r="C33" s="192">
        <f>'Données projet'!E46*150+SUM('Données projet'!F46:G46)*13.8+'Données projet'!H46*10</f>
        <v>80</v>
      </c>
      <c r="D33" s="181">
        <f t="shared" si="2"/>
        <v>1120</v>
      </c>
      <c r="E33" s="192"/>
      <c r="F33" s="232"/>
      <c r="G33" s="202"/>
      <c r="H33" s="189"/>
      <c r="I33" s="190"/>
      <c r="K33" s="172"/>
      <c r="L33" s="4"/>
      <c r="M33" s="4"/>
      <c r="N33" s="4"/>
      <c r="O33" s="193">
        <v>0</v>
      </c>
      <c r="P33" s="184">
        <f t="shared" ref="P33:P64" si="3">$P$25/(1+$M$4)^O33</f>
        <v>0</v>
      </c>
      <c r="Q33" s="233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">
      <c r="A34" s="179">
        <f>'Données projet'!A47</f>
        <v>80</v>
      </c>
      <c r="B34" s="180">
        <f>'Données projet'!D47</f>
        <v>14</v>
      </c>
      <c r="C34" s="192">
        <f>'Données projet'!E47*150+SUM('Données projet'!F47:G47)*13.8+'Données projet'!H47*10</f>
        <v>80</v>
      </c>
      <c r="D34" s="181">
        <f t="shared" si="2"/>
        <v>1120</v>
      </c>
      <c r="E34" s="192"/>
      <c r="F34" s="232"/>
      <c r="G34" s="202"/>
      <c r="H34" s="189"/>
      <c r="I34" s="190"/>
      <c r="K34" s="172"/>
      <c r="L34" s="97"/>
      <c r="M34" s="97"/>
      <c r="N34" s="249"/>
      <c r="O34" s="193">
        <f>IF(O33+1&lt;=MIN('Données projet'!$E$9:$E$18),O33+1,"STOP")</f>
        <v>1</v>
      </c>
      <c r="P34" s="184">
        <f t="shared" si="3"/>
        <v>0</v>
      </c>
      <c r="Q34" s="233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">
      <c r="A35" s="179">
        <f>'Données projet'!A48</f>
        <v>85</v>
      </c>
      <c r="B35" s="180">
        <f>'Données projet'!D48</f>
        <v>14</v>
      </c>
      <c r="C35" s="192">
        <f>'Données projet'!E48*150+SUM('Données projet'!F48:G48)*13.8+'Données projet'!H48*10</f>
        <v>94</v>
      </c>
      <c r="D35" s="181">
        <f t="shared" si="2"/>
        <v>1316</v>
      </c>
      <c r="E35" s="192"/>
      <c r="F35" s="232"/>
      <c r="G35" s="202"/>
      <c r="H35" s="189"/>
      <c r="I35" s="190"/>
      <c r="K35" s="172"/>
      <c r="L35" s="97"/>
      <c r="M35" s="97"/>
      <c r="N35" s="249"/>
      <c r="O35" s="193">
        <f>IF(O34+1&lt;=MIN('Données projet'!$E$9:$E$18),O34+1,"STOP")</f>
        <v>2</v>
      </c>
      <c r="P35" s="184">
        <f t="shared" si="3"/>
        <v>0</v>
      </c>
      <c r="Q35" s="233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">
      <c r="A36" s="179">
        <f>'Données projet'!A49</f>
        <v>90</v>
      </c>
      <c r="B36" s="180">
        <f>'Données projet'!D49</f>
        <v>14</v>
      </c>
      <c r="C36" s="192">
        <f>'Données projet'!E49*150+SUM('Données projet'!F49:G49)*13.8+'Données projet'!H49*10</f>
        <v>94</v>
      </c>
      <c r="D36" s="181">
        <f t="shared" si="2"/>
        <v>1316</v>
      </c>
      <c r="E36" s="192"/>
      <c r="F36" s="232"/>
      <c r="G36" s="202"/>
      <c r="H36" s="189"/>
      <c r="I36" s="190"/>
      <c r="K36" s="172"/>
      <c r="L36" s="23"/>
      <c r="M36" s="23"/>
      <c r="N36" s="23"/>
      <c r="O36" s="193">
        <f>IF(O35+1&lt;=MIN('Données projet'!$E$9:$E$18),O35+1,"STOP")</f>
        <v>3</v>
      </c>
      <c r="P36" s="184">
        <f t="shared" si="3"/>
        <v>0</v>
      </c>
      <c r="Q36" s="233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">
      <c r="A37" s="179">
        <f>'Données projet'!A50</f>
        <v>100</v>
      </c>
      <c r="B37" s="180">
        <f>'Données projet'!D50</f>
        <v>14</v>
      </c>
      <c r="C37" s="192">
        <f>'Données projet'!E50*150+SUM('Données projet'!F50:G50)*13.8+'Données projet'!H50*10</f>
        <v>108</v>
      </c>
      <c r="D37" s="181">
        <f t="shared" si="2"/>
        <v>1512</v>
      </c>
      <c r="E37" s="192"/>
      <c r="F37" s="232"/>
      <c r="G37" s="202"/>
      <c r="H37" s="189"/>
      <c r="I37" s="190"/>
      <c r="K37" s="172"/>
      <c r="L37" s="23"/>
      <c r="M37" s="23"/>
      <c r="N37" s="23"/>
      <c r="O37" s="193">
        <f>IF(O36+1&lt;=MIN('Données projet'!$E$9:$E$18),O36+1,"STOP")</f>
        <v>4</v>
      </c>
      <c r="P37" s="184">
        <f t="shared" si="3"/>
        <v>0</v>
      </c>
      <c r="Q37" s="233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">
      <c r="A38" s="179">
        <f>'Données projet'!A51</f>
        <v>110</v>
      </c>
      <c r="B38" s="180">
        <f>'Données projet'!D51</f>
        <v>13</v>
      </c>
      <c r="C38" s="192">
        <f>'Données projet'!E51*150+SUM('Données projet'!F51:G51)*13.8+'Données projet'!H51*10</f>
        <v>108</v>
      </c>
      <c r="D38" s="181">
        <f t="shared" si="2"/>
        <v>1404</v>
      </c>
      <c r="E38" s="192"/>
      <c r="F38" s="232"/>
      <c r="G38" s="202"/>
      <c r="H38" s="189"/>
      <c r="I38" s="190"/>
      <c r="K38" s="172"/>
      <c r="L38" s="23"/>
      <c r="M38" s="23"/>
      <c r="N38" s="23"/>
      <c r="O38" s="193">
        <f>IF(O37+1&lt;=MIN('Données projet'!$E$9:$E$18),O37+1,"STOP")</f>
        <v>5</v>
      </c>
      <c r="P38" s="184">
        <f t="shared" si="3"/>
        <v>0</v>
      </c>
      <c r="Q38" s="233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">
      <c r="A39" s="179">
        <f>'Données projet'!A52</f>
        <v>120</v>
      </c>
      <c r="B39" s="180">
        <f>'Données projet'!D52</f>
        <v>221</v>
      </c>
      <c r="C39" s="192">
        <f>'Données projet'!E52*150+SUM('Données projet'!F52:G52)*13.8+'Données projet'!H52*10</f>
        <v>122</v>
      </c>
      <c r="D39" s="181">
        <f t="shared" si="2"/>
        <v>26962</v>
      </c>
      <c r="E39" s="192"/>
      <c r="F39" s="232"/>
      <c r="G39" s="202"/>
      <c r="H39" s="189"/>
      <c r="I39" s="190"/>
      <c r="K39" s="207"/>
      <c r="L39" s="23"/>
      <c r="M39" s="23"/>
      <c r="N39" s="23"/>
      <c r="O39" s="193">
        <f>IF(O38+1&lt;=MIN('Données projet'!$E$9:$E$18),O38+1,"STOP")</f>
        <v>6</v>
      </c>
      <c r="P39" s="184">
        <f t="shared" si="3"/>
        <v>0</v>
      </c>
      <c r="Q39" s="233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">
      <c r="A40" s="179">
        <f>'Données projet'!A53</f>
        <v>0</v>
      </c>
      <c r="B40" s="180">
        <f>'Données projet'!D53</f>
        <v>0</v>
      </c>
      <c r="C40" s="192">
        <f>'Données projet'!E53*150+SUM('Données projet'!F53:G53)*13.8+'Données projet'!H53*10</f>
        <v>0</v>
      </c>
      <c r="D40" s="181">
        <f t="shared" si="2"/>
        <v>0</v>
      </c>
      <c r="E40" s="192"/>
      <c r="F40" s="232"/>
      <c r="G40" s="202"/>
      <c r="H40" s="189"/>
      <c r="I40" s="190"/>
      <c r="K40" s="207"/>
      <c r="L40" s="23"/>
      <c r="M40" s="23"/>
      <c r="N40" s="23"/>
      <c r="O40" s="193">
        <f>IF(O39+1&lt;=MIN('Données projet'!$E$9:$E$18),O39+1,"STOP")</f>
        <v>7</v>
      </c>
      <c r="P40" s="184">
        <f t="shared" si="3"/>
        <v>0</v>
      </c>
      <c r="Q40" s="233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">
      <c r="A41" s="179">
        <f>'Données projet'!A54</f>
        <v>0</v>
      </c>
      <c r="B41" s="180">
        <f>'Données projet'!D54</f>
        <v>0</v>
      </c>
      <c r="C41" s="192">
        <f>'Données projet'!E54*150+SUM('Données projet'!F54:G54)*13.8+'Données projet'!H54*10</f>
        <v>0</v>
      </c>
      <c r="D41" s="181">
        <f t="shared" si="2"/>
        <v>0</v>
      </c>
      <c r="E41" s="192"/>
      <c r="F41" s="232"/>
      <c r="G41" s="202"/>
      <c r="H41" s="189"/>
      <c r="I41" s="190"/>
      <c r="K41" s="207"/>
      <c r="L41" s="23"/>
      <c r="M41" s="23"/>
      <c r="N41" s="23"/>
      <c r="O41" s="193">
        <f>IF(O40+1&lt;=MIN('Données projet'!$E$9:$E$18),O40+1,"STOP")</f>
        <v>8</v>
      </c>
      <c r="P41" s="184">
        <f t="shared" si="3"/>
        <v>0</v>
      </c>
      <c r="Q41" s="233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">
      <c r="A42" s="179">
        <f>'Données projet'!A55</f>
        <v>0</v>
      </c>
      <c r="B42" s="180">
        <f>'Données projet'!D55</f>
        <v>0</v>
      </c>
      <c r="C42" s="192">
        <f>'Données projet'!E55*150+SUM('Données projet'!F55:G55)*13.8+'Données projet'!H55*10</f>
        <v>0</v>
      </c>
      <c r="D42" s="181">
        <f t="shared" si="2"/>
        <v>0</v>
      </c>
      <c r="E42" s="192"/>
      <c r="F42" s="232"/>
      <c r="G42" s="202"/>
      <c r="H42" s="189"/>
      <c r="I42" s="190"/>
      <c r="K42" s="207"/>
      <c r="L42" s="23"/>
      <c r="M42" s="23"/>
      <c r="N42" s="23"/>
      <c r="O42" s="193">
        <f>IF(O41+1&lt;=MIN('Données projet'!$E$9:$E$18),O41+1,"STOP")</f>
        <v>9</v>
      </c>
      <c r="P42" s="184">
        <f t="shared" si="3"/>
        <v>0</v>
      </c>
      <c r="Q42" s="233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">
      <c r="A43" s="186"/>
      <c r="B43" s="186"/>
      <c r="C43" s="186"/>
      <c r="D43" s="226"/>
      <c r="E43" s="226"/>
      <c r="F43" s="237"/>
      <c r="G43" s="202"/>
      <c r="H43" s="189"/>
      <c r="I43" s="190"/>
      <c r="K43" s="207"/>
      <c r="L43" s="23"/>
      <c r="M43" s="23"/>
      <c r="N43" s="23"/>
      <c r="O43" s="193">
        <f>IF(O42+1&lt;=MIN('Données projet'!$E$9:$E$18),O42+1,"STOP")</f>
        <v>10</v>
      </c>
      <c r="P43" s="184">
        <f t="shared" si="3"/>
        <v>0</v>
      </c>
      <c r="Q43" s="23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">
      <c r="A44" s="4"/>
      <c r="B44" s="4"/>
      <c r="C44" s="4"/>
      <c r="D44" s="4"/>
      <c r="E44" s="4"/>
      <c r="F44" s="229"/>
      <c r="G44" s="202"/>
      <c r="H44" s="189"/>
      <c r="I44" s="190"/>
      <c r="K44" s="207"/>
      <c r="L44" s="23"/>
      <c r="M44" s="23"/>
      <c r="N44" s="23"/>
      <c r="O44" s="193">
        <f>IF(O43+1&lt;=MIN('Données projet'!$E$9:$E$18),O43+1,"STOP")</f>
        <v>11</v>
      </c>
      <c r="P44" s="184">
        <f t="shared" si="3"/>
        <v>0</v>
      </c>
      <c r="Q44" s="23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">
      <c r="A45" s="46" t="s">
        <v>166</v>
      </c>
      <c r="B45" s="173" t="str">
        <f>IF('Données projet'!$B$10="","",'Données projet'!$B$10)</f>
        <v>Cormier</v>
      </c>
      <c r="C45" s="4"/>
      <c r="D45" s="4"/>
      <c r="E45" s="4"/>
      <c r="F45" s="229"/>
      <c r="G45" s="202"/>
      <c r="H45" s="189"/>
      <c r="I45" s="190"/>
      <c r="J45" s="23"/>
      <c r="K45" s="207"/>
      <c r="L45" s="23"/>
      <c r="M45" s="23"/>
      <c r="N45" s="23"/>
      <c r="O45" s="193">
        <f>IF(O44+1&lt;=MIN('Données projet'!$E$9:$E$18),O44+1,"STOP")</f>
        <v>12</v>
      </c>
      <c r="P45" s="184">
        <f t="shared" si="3"/>
        <v>0</v>
      </c>
      <c r="Q45" s="23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">
      <c r="A46" s="4"/>
      <c r="B46" s="4"/>
      <c r="C46" s="4"/>
      <c r="D46" s="4"/>
      <c r="E46" s="4"/>
      <c r="F46" s="229"/>
      <c r="G46" s="202"/>
      <c r="H46" s="189"/>
      <c r="I46" s="190"/>
      <c r="J46" s="23"/>
      <c r="K46" s="207"/>
      <c r="L46" s="203"/>
      <c r="M46" s="203"/>
      <c r="N46" s="203"/>
      <c r="O46" s="193">
        <f>IF(O45+1&lt;=MIN('Données projet'!$E$9:$E$18),O45+1,"STOP")</f>
        <v>13</v>
      </c>
      <c r="P46" s="187">
        <f t="shared" si="3"/>
        <v>0</v>
      </c>
      <c r="Q46" s="23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0"/>
      <c r="G47" s="202"/>
      <c r="H47" s="189"/>
      <c r="I47" s="190"/>
      <c r="J47" s="23"/>
      <c r="K47" s="207"/>
      <c r="L47" s="4"/>
      <c r="M47" s="4"/>
      <c r="N47" s="4"/>
      <c r="O47" s="193">
        <f>IF(O46+1&lt;=MIN('Données projet'!$E$9:$E$18),O46+1,"STOP")</f>
        <v>14</v>
      </c>
      <c r="P47" s="184">
        <f t="shared" si="3"/>
        <v>0</v>
      </c>
      <c r="Q47" s="23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ht="16" x14ac:dyDescent="0.2">
      <c r="A48" s="49">
        <v>0</v>
      </c>
      <c r="B48" s="198" t="s">
        <v>132</v>
      </c>
      <c r="C48" s="197" t="s">
        <v>132</v>
      </c>
      <c r="D48" s="196" t="s">
        <v>132</v>
      </c>
      <c r="E48" s="192">
        <v>5886.81</v>
      </c>
      <c r="F48" s="230"/>
      <c r="G48" s="202"/>
      <c r="H48" s="189"/>
      <c r="I48" s="190"/>
      <c r="J48" s="23"/>
      <c r="K48" s="207"/>
      <c r="L48" s="4"/>
      <c r="M48" s="4"/>
      <c r="N48" s="4"/>
      <c r="O48" s="193">
        <f>IF(O47+1&lt;=MIN('Données projet'!$E$9:$E$18),O47+1,"STOP")</f>
        <v>15</v>
      </c>
      <c r="P48" s="184">
        <f t="shared" si="3"/>
        <v>0</v>
      </c>
      <c r="Q48" s="23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4" customFormat="1" ht="17.25" customHeight="1" x14ac:dyDescent="0.2">
      <c r="A49" s="49">
        <v>1</v>
      </c>
      <c r="B49" s="198" t="s">
        <v>132</v>
      </c>
      <c r="C49" s="197" t="s">
        <v>132</v>
      </c>
      <c r="D49" s="196" t="s">
        <v>132</v>
      </c>
      <c r="E49" s="192"/>
      <c r="F49" s="230"/>
      <c r="G49" s="203"/>
      <c r="H49" s="189"/>
      <c r="I49" s="190"/>
      <c r="J49" s="203"/>
      <c r="K49" s="209"/>
      <c r="L49" s="4"/>
      <c r="M49" s="4"/>
      <c r="N49" s="4"/>
      <c r="O49" s="193">
        <f>IF(O48+1&lt;=MIN('Données projet'!$E$9:$E$18),O48+1,"STOP")</f>
        <v>16</v>
      </c>
      <c r="P49" s="184">
        <f t="shared" si="3"/>
        <v>0</v>
      </c>
      <c r="Q49" s="235"/>
      <c r="R49" s="186"/>
      <c r="S49" s="186"/>
      <c r="T49" s="186"/>
      <c r="U49" s="186"/>
      <c r="V49" s="186"/>
      <c r="W49" s="186"/>
      <c r="X49" s="186"/>
      <c r="Y49" s="186"/>
      <c r="Z49" s="186"/>
      <c r="AA49" s="186"/>
      <c r="AB49" s="186"/>
      <c r="AC49" s="186"/>
      <c r="AD49" s="186"/>
      <c r="AE49" s="186"/>
      <c r="AF49" s="186"/>
      <c r="AG49" s="186"/>
      <c r="AH49" s="186"/>
      <c r="AI49" s="186"/>
      <c r="AJ49" s="186"/>
      <c r="AK49" s="186"/>
      <c r="AL49" s="186"/>
      <c r="AM49" s="186"/>
      <c r="AN49" s="186"/>
      <c r="AO49" s="186"/>
      <c r="AP49" s="186"/>
      <c r="AQ49" s="186"/>
      <c r="AR49" s="186"/>
      <c r="AS49" s="186"/>
      <c r="AT49" s="186"/>
      <c r="AU49" s="186"/>
      <c r="AV49" s="186"/>
      <c r="AW49" s="186"/>
      <c r="AX49" s="186"/>
      <c r="AY49" s="186"/>
      <c r="AZ49" s="186"/>
      <c r="BA49" s="186"/>
      <c r="BB49" s="186"/>
      <c r="BC49" s="186"/>
      <c r="BD49" s="186"/>
    </row>
    <row r="50" spans="1:56" ht="16" x14ac:dyDescent="0.2">
      <c r="A50" s="49">
        <v>2</v>
      </c>
      <c r="B50" s="198" t="s">
        <v>132</v>
      </c>
      <c r="C50" s="197" t="s">
        <v>132</v>
      </c>
      <c r="D50" s="196" t="s">
        <v>132</v>
      </c>
      <c r="E50" s="192"/>
      <c r="F50" s="230"/>
      <c r="G50" s="23"/>
      <c r="H50" s="189"/>
      <c r="I50" s="190"/>
      <c r="J50" s="23"/>
      <c r="K50" s="172"/>
      <c r="L50" s="4"/>
      <c r="M50" s="4"/>
      <c r="N50" s="4"/>
      <c r="O50" s="193">
        <f>IF(O49+1&lt;=MIN('Données projet'!$E$9:$E$18),O49+1,"STOP")</f>
        <v>17</v>
      </c>
      <c r="P50" s="184">
        <f t="shared" si="3"/>
        <v>0</v>
      </c>
      <c r="Q50" s="23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ht="16" x14ac:dyDescent="0.2">
      <c r="A51" s="49">
        <v>3</v>
      </c>
      <c r="B51" s="198" t="s">
        <v>132</v>
      </c>
      <c r="C51" s="197" t="s">
        <v>132</v>
      </c>
      <c r="D51" s="196" t="s">
        <v>132</v>
      </c>
      <c r="E51" s="192"/>
      <c r="F51" s="230"/>
      <c r="G51" s="23"/>
      <c r="H51" s="189"/>
      <c r="I51" s="190"/>
      <c r="J51" s="23"/>
      <c r="K51" s="172"/>
      <c r="L51" s="4"/>
      <c r="M51" s="4"/>
      <c r="N51" s="4"/>
      <c r="O51" s="193">
        <f>IF(O50+1&lt;=MIN('Données projet'!$E$9:$E$18),O50+1,"STOP")</f>
        <v>18</v>
      </c>
      <c r="P51" s="184">
        <f t="shared" si="3"/>
        <v>0</v>
      </c>
      <c r="Q51" s="23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ht="16" x14ac:dyDescent="0.2">
      <c r="A52" s="49">
        <v>4</v>
      </c>
      <c r="B52" s="198" t="s">
        <v>132</v>
      </c>
      <c r="C52" s="197" t="s">
        <v>132</v>
      </c>
      <c r="D52" s="196" t="s">
        <v>132</v>
      </c>
      <c r="E52" s="192"/>
      <c r="F52" s="230"/>
      <c r="G52" s="23"/>
      <c r="H52" s="189"/>
      <c r="I52" s="190"/>
      <c r="J52" s="23"/>
      <c r="K52" s="172"/>
      <c r="L52" s="4"/>
      <c r="M52" s="4"/>
      <c r="N52" s="4"/>
      <c r="O52" s="193">
        <f>IF(O51+1&lt;=MIN('Données projet'!$E$9:$E$18),O51+1,"STOP")</f>
        <v>19</v>
      </c>
      <c r="P52" s="184">
        <f t="shared" si="3"/>
        <v>0</v>
      </c>
      <c r="Q52" s="23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">
      <c r="A53" s="49">
        <v>5</v>
      </c>
      <c r="B53" s="198" t="s">
        <v>132</v>
      </c>
      <c r="C53" s="197" t="s">
        <v>132</v>
      </c>
      <c r="D53" s="196" t="s">
        <v>132</v>
      </c>
      <c r="E53" s="192"/>
      <c r="F53" s="230"/>
      <c r="G53" s="204"/>
      <c r="H53" s="189"/>
      <c r="I53" s="190"/>
      <c r="J53" s="23"/>
      <c r="K53" s="172"/>
      <c r="L53" s="4"/>
      <c r="M53" s="4"/>
      <c r="N53" s="4"/>
      <c r="O53" s="193">
        <f>IF(O52+1&lt;=MIN('Données projet'!$E$9:$E$18),O52+1,"STOP")</f>
        <v>20</v>
      </c>
      <c r="P53" s="184">
        <f t="shared" si="3"/>
        <v>0</v>
      </c>
      <c r="Q53" s="23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">
      <c r="A54" s="179">
        <f>'Données projet'!A62</f>
        <v>25</v>
      </c>
      <c r="B54" s="180">
        <f>'Données projet'!D62</f>
        <v>0</v>
      </c>
      <c r="C54" s="190">
        <f>'Données projet'!E62*150+SUM('Données projet'!F62:G62)*13.8+'Données projet'!H62*10</f>
        <v>10</v>
      </c>
      <c r="D54" s="178">
        <f>B54*C54</f>
        <v>0</v>
      </c>
      <c r="E54" s="192"/>
      <c r="F54" s="231"/>
      <c r="G54" s="204"/>
      <c r="H54" s="189"/>
      <c r="I54" s="190"/>
      <c r="J54" s="23"/>
      <c r="K54" s="172"/>
      <c r="L54" s="4"/>
      <c r="M54" s="4"/>
      <c r="N54" s="4"/>
      <c r="O54" s="193">
        <f>IF(O53+1&lt;=MIN('Données projet'!$E$9:$E$18),O53+1,"STOP")</f>
        <v>21</v>
      </c>
      <c r="P54" s="184">
        <f t="shared" si="3"/>
        <v>0</v>
      </c>
      <c r="Q54" s="23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">
      <c r="A55" s="179">
        <f>'Données projet'!A63</f>
        <v>30</v>
      </c>
      <c r="B55" s="180">
        <f>'Données projet'!D63</f>
        <v>0</v>
      </c>
      <c r="C55" s="190">
        <f>'Données projet'!E63*150+SUM('Données projet'!F63:G63)*13.8+'Données projet'!H63*10</f>
        <v>10</v>
      </c>
      <c r="D55" s="178">
        <f t="shared" ref="D55:D73" si="4">B55*C55</f>
        <v>0</v>
      </c>
      <c r="E55" s="192"/>
      <c r="F55" s="231"/>
      <c r="G55" s="204"/>
      <c r="H55" s="189"/>
      <c r="I55" s="190"/>
      <c r="J55" s="23"/>
      <c r="K55" s="172"/>
      <c r="L55" s="4"/>
      <c r="M55" s="4"/>
      <c r="N55" s="4"/>
      <c r="O55" s="193">
        <f>IF(O54+1&lt;=MIN('Données projet'!$E$9:$E$18),O54+1,"STOP")</f>
        <v>22</v>
      </c>
      <c r="P55" s="184">
        <f t="shared" si="3"/>
        <v>0</v>
      </c>
      <c r="Q55" s="23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">
      <c r="A56" s="179">
        <f>'Données projet'!A64</f>
        <v>35</v>
      </c>
      <c r="B56" s="180">
        <f>'Données projet'!D64</f>
        <v>13</v>
      </c>
      <c r="C56" s="190">
        <f>'Données projet'!E64*150+SUM('Données projet'!F64:G64)*13.8+'Données projet'!H64*10</f>
        <v>10</v>
      </c>
      <c r="D56" s="178">
        <f t="shared" si="4"/>
        <v>130</v>
      </c>
      <c r="E56" s="192"/>
      <c r="F56" s="231"/>
      <c r="G56" s="204"/>
      <c r="H56" s="189"/>
      <c r="I56" s="190"/>
      <c r="J56" s="23"/>
      <c r="K56" s="172"/>
      <c r="L56" s="4"/>
      <c r="M56" s="4"/>
      <c r="N56" s="4"/>
      <c r="O56" s="193">
        <f>IF(O55+1&lt;=MIN('Données projet'!$E$9:$E$18),O55+1,"STOP")</f>
        <v>23</v>
      </c>
      <c r="P56" s="184">
        <f t="shared" si="3"/>
        <v>0</v>
      </c>
      <c r="Q56" s="23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">
      <c r="A57" s="179">
        <f>'Données projet'!A65</f>
        <v>40</v>
      </c>
      <c r="B57" s="180">
        <f>'Données projet'!D65</f>
        <v>14</v>
      </c>
      <c r="C57" s="190">
        <f>'Données projet'!E65*150+SUM('Données projet'!F65:G65)*13.8+'Données projet'!H65*10</f>
        <v>38</v>
      </c>
      <c r="D57" s="178">
        <f t="shared" si="4"/>
        <v>532</v>
      </c>
      <c r="E57" s="192"/>
      <c r="F57" s="231"/>
      <c r="G57" s="204"/>
      <c r="H57" s="189"/>
      <c r="I57" s="190"/>
      <c r="J57" s="23"/>
      <c r="K57" s="172"/>
      <c r="L57" s="4"/>
      <c r="M57" s="4"/>
      <c r="N57" s="4"/>
      <c r="O57" s="193">
        <f>IF(O56+1&lt;=MIN('Données projet'!$E$9:$E$18),O56+1,"STOP")</f>
        <v>24</v>
      </c>
      <c r="P57" s="184">
        <f t="shared" si="3"/>
        <v>0</v>
      </c>
      <c r="Q57" s="23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">
      <c r="A58" s="179">
        <f>'Données projet'!A66</f>
        <v>45</v>
      </c>
      <c r="B58" s="180">
        <f>'Données projet'!D66</f>
        <v>14</v>
      </c>
      <c r="C58" s="190">
        <f>'Données projet'!E66*150+SUM('Données projet'!F66:G66)*13.8+'Données projet'!H66*10</f>
        <v>52</v>
      </c>
      <c r="D58" s="178">
        <f t="shared" si="4"/>
        <v>728</v>
      </c>
      <c r="E58" s="192"/>
      <c r="F58" s="231"/>
      <c r="G58" s="204"/>
      <c r="H58" s="189"/>
      <c r="I58" s="190"/>
      <c r="J58" s="23"/>
      <c r="K58" s="172"/>
      <c r="L58" s="4"/>
      <c r="M58" s="4"/>
      <c r="N58" s="4"/>
      <c r="O58" s="193">
        <f>IF(O57+1&lt;=MIN('Données projet'!$E$9:$E$18),O57+1,"STOP")</f>
        <v>25</v>
      </c>
      <c r="P58" s="184">
        <f t="shared" si="3"/>
        <v>0</v>
      </c>
      <c r="Q58" s="23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">
      <c r="A59" s="179">
        <f>'Données projet'!A67</f>
        <v>50</v>
      </c>
      <c r="B59" s="180">
        <f>'Données projet'!D67</f>
        <v>14</v>
      </c>
      <c r="C59" s="190">
        <f>'Données projet'!E67*150+SUM('Données projet'!F67:G67)*13.8+'Données projet'!H67*10</f>
        <v>66</v>
      </c>
      <c r="D59" s="178">
        <f t="shared" si="4"/>
        <v>924</v>
      </c>
      <c r="E59" s="192"/>
      <c r="F59" s="231"/>
      <c r="G59" s="204"/>
      <c r="H59" s="189"/>
      <c r="I59" s="190"/>
      <c r="J59" s="23"/>
      <c r="K59" s="172"/>
      <c r="L59" s="4"/>
      <c r="M59" s="4"/>
      <c r="N59" s="4"/>
      <c r="O59" s="193">
        <f>IF(O58+1&lt;=MIN('Données projet'!$E$9:$E$18),O58+1,"STOP")</f>
        <v>26</v>
      </c>
      <c r="P59" s="184">
        <f t="shared" si="3"/>
        <v>0</v>
      </c>
      <c r="Q59" s="23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">
      <c r="A60" s="179">
        <f>'Données projet'!A68</f>
        <v>55</v>
      </c>
      <c r="B60" s="180">
        <f>'Données projet'!D68</f>
        <v>14</v>
      </c>
      <c r="C60" s="190">
        <f>'Données projet'!E68*150+SUM('Données projet'!F68:G68)*13.8+'Données projet'!H68*10</f>
        <v>80</v>
      </c>
      <c r="D60" s="178">
        <f t="shared" si="4"/>
        <v>1120</v>
      </c>
      <c r="E60" s="192"/>
      <c r="F60" s="231"/>
      <c r="G60" s="205"/>
      <c r="H60" s="189"/>
      <c r="I60" s="190"/>
      <c r="J60" s="23"/>
      <c r="K60" s="172"/>
      <c r="L60" s="4"/>
      <c r="M60" s="4"/>
      <c r="N60" s="4"/>
      <c r="O60" s="193">
        <f>IF(O59+1&lt;=MIN('Données projet'!$E$9:$E$18),O59+1,"STOP")</f>
        <v>27</v>
      </c>
      <c r="P60" s="184">
        <f t="shared" si="3"/>
        <v>0</v>
      </c>
      <c r="Q60" s="23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">
      <c r="A61" s="179">
        <f>'Données projet'!A69</f>
        <v>60</v>
      </c>
      <c r="B61" s="180">
        <f>'Données projet'!D69</f>
        <v>14</v>
      </c>
      <c r="C61" s="190">
        <f>'Données projet'!E69*150+SUM('Données projet'!F69:G69)*13.8+'Données projet'!H69*10</f>
        <v>94</v>
      </c>
      <c r="D61" s="178">
        <f t="shared" si="4"/>
        <v>1316</v>
      </c>
      <c r="E61" s="192"/>
      <c r="F61" s="231"/>
      <c r="G61" s="205"/>
      <c r="H61" s="189"/>
      <c r="I61" s="190"/>
      <c r="J61" s="23"/>
      <c r="K61" s="172"/>
      <c r="L61" s="4"/>
      <c r="M61" s="4"/>
      <c r="N61" s="4"/>
      <c r="O61" s="193">
        <f>IF(O60+1&lt;=MIN('Données projet'!$E$9:$E$18),O60+1,"STOP")</f>
        <v>28</v>
      </c>
      <c r="P61" s="184">
        <f t="shared" si="3"/>
        <v>0</v>
      </c>
      <c r="Q61" s="23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">
      <c r="A62" s="179">
        <f>'Données projet'!A70</f>
        <v>65</v>
      </c>
      <c r="B62" s="180">
        <f>'Données projet'!D70</f>
        <v>14</v>
      </c>
      <c r="C62" s="190">
        <f>'Données projet'!E70*150+SUM('Données projet'!F70:G70)*13.8+'Données projet'!H70*10</f>
        <v>94</v>
      </c>
      <c r="D62" s="178">
        <f t="shared" si="4"/>
        <v>1316</v>
      </c>
      <c r="E62" s="192"/>
      <c r="F62" s="231"/>
      <c r="G62" s="205"/>
      <c r="H62" s="189"/>
      <c r="I62" s="190"/>
      <c r="J62" s="23"/>
      <c r="K62" s="172"/>
      <c r="L62" s="4"/>
      <c r="M62" s="4"/>
      <c r="N62" s="4"/>
      <c r="O62" s="193">
        <f>IF(O61+1&lt;=MIN('Données projet'!$E$9:$E$18),O61+1,"STOP")</f>
        <v>29</v>
      </c>
      <c r="P62" s="184">
        <f t="shared" si="3"/>
        <v>0</v>
      </c>
      <c r="Q62" s="23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">
      <c r="A63" s="179">
        <f>'Données projet'!A71</f>
        <v>70</v>
      </c>
      <c r="B63" s="180">
        <f>'Données projet'!D71</f>
        <v>14</v>
      </c>
      <c r="C63" s="190">
        <f>'Données projet'!E71*150+SUM('Données projet'!F71:G71)*13.8+'Données projet'!H71*10</f>
        <v>108</v>
      </c>
      <c r="D63" s="178">
        <f t="shared" si="4"/>
        <v>1512</v>
      </c>
      <c r="E63" s="192"/>
      <c r="F63" s="231"/>
      <c r="G63" s="205"/>
      <c r="H63" s="189"/>
      <c r="I63" s="190"/>
      <c r="J63" s="23"/>
      <c r="K63" s="172"/>
      <c r="L63" s="4"/>
      <c r="M63" s="4"/>
      <c r="N63" s="4"/>
      <c r="O63" s="193">
        <f>IF(O62+1&lt;=MIN('Données projet'!$E$9:$E$18),O62+1,"STOP")</f>
        <v>30</v>
      </c>
      <c r="P63" s="184">
        <f t="shared" si="3"/>
        <v>0</v>
      </c>
      <c r="Q63" s="23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">
      <c r="A64" s="179">
        <f>'Données projet'!A72</f>
        <v>75</v>
      </c>
      <c r="B64" s="180">
        <f>'Données projet'!D72</f>
        <v>14</v>
      </c>
      <c r="C64" s="190">
        <f>'Données projet'!E72*150+SUM('Données projet'!F72:G72)*13.8+'Données projet'!H72*10</f>
        <v>108</v>
      </c>
      <c r="D64" s="178">
        <f t="shared" si="4"/>
        <v>1512</v>
      </c>
      <c r="E64" s="192"/>
      <c r="F64" s="231"/>
      <c r="G64" s="205"/>
      <c r="H64" s="189"/>
      <c r="I64" s="190"/>
      <c r="J64" s="206"/>
      <c r="K64" s="172"/>
      <c r="L64" s="4"/>
      <c r="M64" s="4"/>
      <c r="N64" s="4"/>
      <c r="O64" s="193">
        <f>IF(O63+1&lt;=MIN('Données projet'!$E$9:$E$18),O63+1,"STOP")</f>
        <v>31</v>
      </c>
      <c r="P64" s="184">
        <f t="shared" si="3"/>
        <v>0</v>
      </c>
      <c r="Q64" s="23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">
      <c r="A65" s="179">
        <f>'Données projet'!A73</f>
        <v>80</v>
      </c>
      <c r="B65" s="180">
        <f>'Données projet'!D73</f>
        <v>192</v>
      </c>
      <c r="C65" s="190">
        <f>'Données projet'!E73*150+SUM('Données projet'!F73:G73)*13.8+'Données projet'!H73*10</f>
        <v>122</v>
      </c>
      <c r="D65" s="178">
        <f t="shared" si="4"/>
        <v>23424</v>
      </c>
      <c r="E65" s="192"/>
      <c r="F65" s="231"/>
      <c r="G65" s="205"/>
      <c r="H65" s="189"/>
      <c r="I65" s="190"/>
      <c r="J65" s="188"/>
      <c r="K65" s="172"/>
      <c r="L65" s="4"/>
      <c r="M65" s="4"/>
      <c r="N65" s="4"/>
      <c r="O65" s="193">
        <f>IF(O64+1&lt;=MIN('Données projet'!$E$9:$E$18),O64+1,"STOP")</f>
        <v>32</v>
      </c>
      <c r="P65" s="184">
        <f t="shared" ref="P65:P96" si="5">$P$25/(1+$M$4)^O65</f>
        <v>0</v>
      </c>
      <c r="Q65" s="23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">
      <c r="A66" s="179">
        <f>'Données projet'!A74</f>
        <v>0</v>
      </c>
      <c r="B66" s="180">
        <f>'Données projet'!D74</f>
        <v>0</v>
      </c>
      <c r="C66" s="190">
        <f>'Données projet'!E74*150+SUM('Données projet'!F74:G74)*13.8+'Données projet'!H74*10</f>
        <v>0</v>
      </c>
      <c r="D66" s="178">
        <f t="shared" si="4"/>
        <v>0</v>
      </c>
      <c r="E66" s="192"/>
      <c r="F66" s="231"/>
      <c r="G66" s="205"/>
      <c r="H66" s="189"/>
      <c r="I66" s="190"/>
      <c r="J66" s="188"/>
      <c r="K66" s="172"/>
      <c r="L66" s="4"/>
      <c r="M66" s="4"/>
      <c r="N66" s="4"/>
      <c r="O66" s="193">
        <f>IF(O65+1&lt;=MIN('Données projet'!$E$9:$E$18),O65+1,"STOP")</f>
        <v>33</v>
      </c>
      <c r="P66" s="184">
        <f t="shared" si="5"/>
        <v>0</v>
      </c>
      <c r="Q66" s="23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">
      <c r="A67" s="179">
        <f>'Données projet'!A75</f>
        <v>0</v>
      </c>
      <c r="B67" s="180">
        <f>'Données projet'!D75</f>
        <v>0</v>
      </c>
      <c r="C67" s="190">
        <f>'Données projet'!E75*150+SUM('Données projet'!F75:G75)*13.8+'Données projet'!H75*10</f>
        <v>0</v>
      </c>
      <c r="D67" s="178">
        <f t="shared" si="4"/>
        <v>0</v>
      </c>
      <c r="E67" s="192"/>
      <c r="F67" s="231"/>
      <c r="G67" s="205"/>
      <c r="H67" s="189"/>
      <c r="I67" s="190"/>
      <c r="J67" s="188"/>
      <c r="K67" s="172"/>
      <c r="L67" s="4"/>
      <c r="M67" s="4"/>
      <c r="N67" s="4"/>
      <c r="O67" s="193">
        <f>IF(O66+1&lt;=MIN('Données projet'!$E$9:$E$18),O66+1,"STOP")</f>
        <v>34</v>
      </c>
      <c r="P67" s="184">
        <f t="shared" si="5"/>
        <v>0</v>
      </c>
      <c r="Q67" s="23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">
      <c r="A68" s="179">
        <f>'Données projet'!A76</f>
        <v>0</v>
      </c>
      <c r="B68" s="180">
        <f>'Données projet'!D76</f>
        <v>0</v>
      </c>
      <c r="C68" s="190">
        <f>'Données projet'!E76*150+SUM('Données projet'!F76:G76)*13.8+'Données projet'!H76*10</f>
        <v>0</v>
      </c>
      <c r="D68" s="178">
        <f t="shared" si="4"/>
        <v>0</v>
      </c>
      <c r="E68" s="192"/>
      <c r="F68" s="231"/>
      <c r="G68" s="205"/>
      <c r="H68" s="189"/>
      <c r="I68" s="190"/>
      <c r="J68" s="188"/>
      <c r="K68" s="172"/>
      <c r="L68" s="4"/>
      <c r="M68" s="4"/>
      <c r="N68" s="4"/>
      <c r="O68" s="193">
        <f>IF(O67+1&lt;=MIN('Données projet'!$E$9:$E$18),O67+1,"STOP")</f>
        <v>35</v>
      </c>
      <c r="P68" s="184">
        <f t="shared" si="5"/>
        <v>0</v>
      </c>
      <c r="Q68" s="23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">
      <c r="A69" s="179">
        <f>'Données projet'!A77</f>
        <v>0</v>
      </c>
      <c r="B69" s="180">
        <f>'Données projet'!D77</f>
        <v>0</v>
      </c>
      <c r="C69" s="190">
        <f>'Données projet'!E77*150+SUM('Données projet'!F77:G77)*13.8+'Données projet'!H77*10</f>
        <v>0</v>
      </c>
      <c r="D69" s="178">
        <f t="shared" si="4"/>
        <v>0</v>
      </c>
      <c r="E69" s="192"/>
      <c r="F69" s="231"/>
      <c r="G69" s="205"/>
      <c r="H69" s="189"/>
      <c r="I69" s="190"/>
      <c r="J69" s="188"/>
      <c r="K69" s="172"/>
      <c r="L69" s="4"/>
      <c r="M69" s="4"/>
      <c r="N69" s="4"/>
      <c r="O69" s="193">
        <f>IF(O68+1&lt;=MIN('Données projet'!$E$9:$E$18),O68+1,"STOP")</f>
        <v>36</v>
      </c>
      <c r="P69" s="184">
        <f t="shared" si="5"/>
        <v>0</v>
      </c>
      <c r="Q69" s="23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">
      <c r="A70" s="179">
        <f>'Données projet'!A78</f>
        <v>0</v>
      </c>
      <c r="B70" s="180">
        <f>'Données projet'!D78</f>
        <v>0</v>
      </c>
      <c r="C70" s="190">
        <f>'Données projet'!E78*150+SUM('Données projet'!F78:G78)*13.8+'Données projet'!H78*10</f>
        <v>0</v>
      </c>
      <c r="D70" s="178">
        <f t="shared" si="4"/>
        <v>0</v>
      </c>
      <c r="E70" s="192"/>
      <c r="F70" s="231"/>
      <c r="G70" s="205"/>
      <c r="H70" s="189"/>
      <c r="I70" s="190"/>
      <c r="J70" s="188"/>
      <c r="K70" s="172"/>
      <c r="L70" s="4"/>
      <c r="M70" s="4"/>
      <c r="N70" s="4"/>
      <c r="O70" s="193">
        <f>IF(O69+1&lt;=MIN('Données projet'!$E$9:$E$18),O69+1,"STOP")</f>
        <v>37</v>
      </c>
      <c r="P70" s="184">
        <f t="shared" si="5"/>
        <v>0</v>
      </c>
      <c r="Q70" s="23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">
      <c r="A71" s="179">
        <f>'Données projet'!A79</f>
        <v>0</v>
      </c>
      <c r="B71" s="180">
        <f>'Données projet'!D79</f>
        <v>0</v>
      </c>
      <c r="C71" s="190">
        <f>'Données projet'!E79*150+SUM('Données projet'!F79:G79)*13.8+'Données projet'!H79*10</f>
        <v>0</v>
      </c>
      <c r="D71" s="178">
        <f t="shared" si="4"/>
        <v>0</v>
      </c>
      <c r="E71" s="192"/>
      <c r="F71" s="231"/>
      <c r="G71" s="205"/>
      <c r="H71" s="189"/>
      <c r="I71" s="190"/>
      <c r="J71" s="188"/>
      <c r="K71" s="172"/>
      <c r="L71" s="4"/>
      <c r="M71" s="4"/>
      <c r="N71" s="4"/>
      <c r="O71" s="193">
        <f>IF(O70+1&lt;=MIN('Données projet'!$E$9:$E$18),O70+1,"STOP")</f>
        <v>38</v>
      </c>
      <c r="P71" s="184">
        <f t="shared" si="5"/>
        <v>0</v>
      </c>
      <c r="Q71" s="23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">
      <c r="A72" s="179">
        <f>'Données projet'!A80</f>
        <v>0</v>
      </c>
      <c r="B72" s="180">
        <f>'Données projet'!D80</f>
        <v>0</v>
      </c>
      <c r="C72" s="190">
        <f>'Données projet'!E80*150+SUM('Données projet'!F80:G80)*13.8+'Données projet'!H80*10</f>
        <v>0</v>
      </c>
      <c r="D72" s="178">
        <f t="shared" si="4"/>
        <v>0</v>
      </c>
      <c r="E72" s="192"/>
      <c r="F72" s="231"/>
      <c r="G72" s="205"/>
      <c r="H72" s="189"/>
      <c r="I72" s="190"/>
      <c r="J72" s="4"/>
      <c r="K72" s="172"/>
      <c r="L72" s="4"/>
      <c r="M72" s="4"/>
      <c r="N72" s="4"/>
      <c r="O72" s="193">
        <f>IF(O71+1&lt;=MIN('Données projet'!$E$9:$E$18),O71+1,"STOP")</f>
        <v>39</v>
      </c>
      <c r="P72" s="184">
        <f t="shared" si="5"/>
        <v>0</v>
      </c>
      <c r="Q72" s="23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">
      <c r="A73" s="179">
        <f>'Données projet'!A81</f>
        <v>0</v>
      </c>
      <c r="B73" s="180">
        <f>'Données projet'!D81</f>
        <v>0</v>
      </c>
      <c r="C73" s="190">
        <f>'Données projet'!E81*150+SUM('Données projet'!F81:G81)*13.8+'Données projet'!H81*10</f>
        <v>0</v>
      </c>
      <c r="D73" s="178">
        <f t="shared" si="4"/>
        <v>0</v>
      </c>
      <c r="E73" s="192"/>
      <c r="F73" s="231"/>
      <c r="G73" s="205"/>
      <c r="H73" s="189"/>
      <c r="I73" s="190"/>
      <c r="J73" s="4"/>
      <c r="K73" s="172"/>
      <c r="L73" s="4"/>
      <c r="M73" s="4"/>
      <c r="N73" s="4"/>
      <c r="O73" s="193">
        <f>IF(O72+1&lt;=MIN('Données projet'!$E$9:$E$18),O72+1,"STOP")</f>
        <v>40</v>
      </c>
      <c r="P73" s="184">
        <f t="shared" si="5"/>
        <v>0</v>
      </c>
      <c r="Q73" s="23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">
      <c r="A74" s="4"/>
      <c r="B74" s="4"/>
      <c r="C74" s="4"/>
      <c r="D74" s="4"/>
      <c r="E74" s="4"/>
      <c r="F74" s="229"/>
      <c r="G74" s="205"/>
      <c r="H74" s="189"/>
      <c r="I74" s="190"/>
      <c r="J74" s="4"/>
      <c r="K74" s="172"/>
      <c r="L74" s="4"/>
      <c r="M74" s="4"/>
      <c r="N74" s="4"/>
      <c r="O74" s="193">
        <f>IF(O73+1&lt;=MIN('Données projet'!$E$9:$E$18),O73+1,"STOP")</f>
        <v>41</v>
      </c>
      <c r="P74" s="184">
        <f t="shared" si="5"/>
        <v>0</v>
      </c>
      <c r="Q74" s="23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">
      <c r="A75" s="4"/>
      <c r="B75" s="4"/>
      <c r="C75" s="4"/>
      <c r="D75" s="4"/>
      <c r="E75" s="4"/>
      <c r="F75" s="229"/>
      <c r="G75" s="205"/>
      <c r="H75" s="189"/>
      <c r="I75" s="190"/>
      <c r="J75" s="4"/>
      <c r="K75" s="172"/>
      <c r="L75" s="4"/>
      <c r="M75" s="4"/>
      <c r="N75" s="4"/>
      <c r="O75" s="193">
        <f>IF(O74+1&lt;=MIN('Données projet'!$E$9:$E$18),O74+1,"STOP")</f>
        <v>42</v>
      </c>
      <c r="P75" s="184">
        <f t="shared" si="5"/>
        <v>0</v>
      </c>
      <c r="Q75" s="23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">
      <c r="A76" s="46" t="s">
        <v>167</v>
      </c>
      <c r="B76" s="173" t="str">
        <f>IF('Données projet'!B11="","",'Données projet'!B11)</f>
        <v>Alisier Torminal</v>
      </c>
      <c r="C76" s="4"/>
      <c r="D76" s="4"/>
      <c r="E76" s="4"/>
      <c r="F76" s="229"/>
      <c r="G76" s="205"/>
      <c r="H76" s="189"/>
      <c r="I76" s="190"/>
      <c r="J76" s="4"/>
      <c r="K76" s="172"/>
      <c r="L76" s="4"/>
      <c r="M76" s="4"/>
      <c r="N76" s="4"/>
      <c r="O76" s="193">
        <f>IF(O75+1&lt;=MIN('Données projet'!$E$9:$E$18),O75+1,"STOP")</f>
        <v>43</v>
      </c>
      <c r="P76" s="184">
        <f t="shared" si="5"/>
        <v>0</v>
      </c>
      <c r="Q76" s="23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">
      <c r="A77" s="4"/>
      <c r="B77" s="4"/>
      <c r="C77" s="4"/>
      <c r="D77" s="4"/>
      <c r="E77" s="4"/>
      <c r="F77" s="229"/>
      <c r="G77" s="205"/>
      <c r="H77" s="189"/>
      <c r="I77" s="190"/>
      <c r="J77" s="4"/>
      <c r="K77" s="172"/>
      <c r="L77" s="4"/>
      <c r="M77" s="4"/>
      <c r="N77" s="4"/>
      <c r="O77" s="193">
        <f>IF(O76+1&lt;=MIN('Données projet'!$E$9:$E$18),O76+1,"STOP")</f>
        <v>44</v>
      </c>
      <c r="P77" s="184">
        <f t="shared" si="5"/>
        <v>0</v>
      </c>
      <c r="Q77" s="23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16" x14ac:dyDescent="0.2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0"/>
      <c r="G78" s="205"/>
      <c r="H78" s="189"/>
      <c r="I78" s="190"/>
      <c r="J78" s="4"/>
      <c r="K78" s="172"/>
      <c r="L78" s="4"/>
      <c r="M78" s="4"/>
      <c r="N78" s="4"/>
      <c r="O78" s="193">
        <f>IF(O77+1&lt;=MIN('Données projet'!$E$9:$E$18),O77+1,"STOP")</f>
        <v>45</v>
      </c>
      <c r="P78" s="184">
        <f t="shared" si="5"/>
        <v>0</v>
      </c>
      <c r="Q78" s="23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ht="16" x14ac:dyDescent="0.2">
      <c r="A79" s="49">
        <v>0</v>
      </c>
      <c r="B79" s="198" t="s">
        <v>132</v>
      </c>
      <c r="C79" s="197" t="s">
        <v>132</v>
      </c>
      <c r="D79" s="196" t="s">
        <v>132</v>
      </c>
      <c r="E79" s="192">
        <v>4940.8100000000004</v>
      </c>
      <c r="F79" s="230"/>
      <c r="G79" s="205"/>
      <c r="H79" s="189"/>
      <c r="I79" s="190"/>
      <c r="J79" s="4"/>
      <c r="K79" s="172"/>
      <c r="L79" s="4"/>
      <c r="M79" s="4"/>
      <c r="N79" s="4"/>
      <c r="O79" s="193">
        <f>IF(O78+1&lt;=MIN('Données projet'!$E$9:$E$18),O78+1,"STOP")</f>
        <v>46</v>
      </c>
      <c r="P79" s="184">
        <f t="shared" si="5"/>
        <v>0</v>
      </c>
      <c r="Q79" s="23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ht="16" x14ac:dyDescent="0.2">
      <c r="A80" s="49">
        <v>1</v>
      </c>
      <c r="B80" s="198" t="s">
        <v>132</v>
      </c>
      <c r="C80" s="197" t="s">
        <v>132</v>
      </c>
      <c r="D80" s="196" t="s">
        <v>132</v>
      </c>
      <c r="E80" s="192"/>
      <c r="F80" s="230"/>
      <c r="G80" s="23"/>
      <c r="H80" s="189"/>
      <c r="I80" s="190"/>
      <c r="J80" s="4"/>
      <c r="K80" s="172"/>
      <c r="L80" s="4"/>
      <c r="M80" s="4"/>
      <c r="N80" s="4"/>
      <c r="O80" s="193">
        <f>IF(O79+1&lt;=MIN('Données projet'!$E$9:$E$18),O79+1,"STOP")</f>
        <v>47</v>
      </c>
      <c r="P80" s="184">
        <f t="shared" si="5"/>
        <v>0</v>
      </c>
      <c r="Q80" s="23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ht="16" x14ac:dyDescent="0.2">
      <c r="A81" s="49">
        <v>2</v>
      </c>
      <c r="B81" s="198" t="s">
        <v>132</v>
      </c>
      <c r="C81" s="197" t="s">
        <v>132</v>
      </c>
      <c r="D81" s="196" t="s">
        <v>132</v>
      </c>
      <c r="E81" s="192"/>
      <c r="F81" s="230"/>
      <c r="G81" s="23"/>
      <c r="H81" s="189"/>
      <c r="I81" s="190"/>
      <c r="J81" s="4"/>
      <c r="K81" s="172"/>
      <c r="L81" s="4"/>
      <c r="M81" s="4"/>
      <c r="N81" s="4"/>
      <c r="O81" s="193">
        <f>IF(O80+1&lt;=MIN('Données projet'!$E$9:$E$18),O80+1,"STOP")</f>
        <v>48</v>
      </c>
      <c r="P81" s="184">
        <f t="shared" si="5"/>
        <v>0</v>
      </c>
      <c r="Q81" s="23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ht="16" x14ac:dyDescent="0.2">
      <c r="A82" s="49">
        <v>3</v>
      </c>
      <c r="B82" s="198" t="s">
        <v>132</v>
      </c>
      <c r="C82" s="197" t="s">
        <v>132</v>
      </c>
      <c r="D82" s="196" t="s">
        <v>132</v>
      </c>
      <c r="E82" s="192"/>
      <c r="F82" s="230"/>
      <c r="G82" s="23"/>
      <c r="H82" s="189"/>
      <c r="I82" s="190"/>
      <c r="J82" s="4"/>
      <c r="K82" s="172"/>
      <c r="L82" s="4"/>
      <c r="M82" s="4"/>
      <c r="N82" s="4"/>
      <c r="O82" s="193">
        <f>IF(O81+1&lt;=MIN('Données projet'!$E$9:$E$18),O81+1,"STOP")</f>
        <v>49</v>
      </c>
      <c r="P82" s="184">
        <f t="shared" si="5"/>
        <v>0</v>
      </c>
      <c r="Q82" s="23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ht="16" x14ac:dyDescent="0.2">
      <c r="A83" s="49">
        <v>4</v>
      </c>
      <c r="B83" s="198" t="s">
        <v>132</v>
      </c>
      <c r="C83" s="197" t="s">
        <v>132</v>
      </c>
      <c r="D83" s="196" t="s">
        <v>132</v>
      </c>
      <c r="E83" s="192"/>
      <c r="F83" s="230"/>
      <c r="G83" s="23"/>
      <c r="H83" s="189"/>
      <c r="I83" s="190"/>
      <c r="J83" s="4"/>
      <c r="K83" s="172"/>
      <c r="L83" s="4"/>
      <c r="M83" s="4"/>
      <c r="N83" s="4"/>
      <c r="O83" s="193">
        <f>IF(O82+1&lt;=MIN('Données projet'!$E$9:$E$18),O82+1,"STOP")</f>
        <v>50</v>
      </c>
      <c r="P83" s="184">
        <f t="shared" si="5"/>
        <v>0</v>
      </c>
      <c r="Q83" s="23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">
      <c r="A84" s="49">
        <v>5</v>
      </c>
      <c r="B84" s="198" t="s">
        <v>132</v>
      </c>
      <c r="C84" s="197" t="s">
        <v>132</v>
      </c>
      <c r="D84" s="196" t="s">
        <v>132</v>
      </c>
      <c r="E84" s="192"/>
      <c r="F84" s="230"/>
      <c r="G84" s="204"/>
      <c r="H84" s="189"/>
      <c r="I84" s="190"/>
      <c r="J84" s="4"/>
      <c r="K84" s="172"/>
      <c r="L84" s="4"/>
      <c r="M84" s="4"/>
      <c r="N84" s="4"/>
      <c r="O84" s="193" t="str">
        <f>IF(O83+1&lt;=MIN('Données projet'!$E$9:$E$18),O83+1,"STOP")</f>
        <v>STOP</v>
      </c>
      <c r="P84" s="184" t="e">
        <f t="shared" si="5"/>
        <v>#VALUE!</v>
      </c>
      <c r="Q84" s="23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">
      <c r="A85" s="179">
        <f>'Données projet'!A88</f>
        <v>25</v>
      </c>
      <c r="B85" s="180">
        <f>'Données projet'!D88</f>
        <v>0</v>
      </c>
      <c r="C85" s="190">
        <f>'Données projet'!E88*300+SUM('Données projet'!F88:G88)*13.8+'Données projet'!H88*10</f>
        <v>10</v>
      </c>
      <c r="D85" s="178">
        <f>B85*C85</f>
        <v>0</v>
      </c>
      <c r="E85" s="192"/>
      <c r="F85" s="231"/>
      <c r="G85" s="204"/>
      <c r="H85" s="189"/>
      <c r="I85" s="190"/>
      <c r="J85" s="4"/>
      <c r="K85" s="172"/>
      <c r="L85" s="4"/>
      <c r="M85" s="4"/>
      <c r="N85" s="4"/>
      <c r="O85" s="193" t="e">
        <f>IF(O84+1&lt;=MIN('Données projet'!$E$9:$E$18),O84+1,"STOP")</f>
        <v>#VALUE!</v>
      </c>
      <c r="P85" s="184" t="e">
        <f t="shared" si="5"/>
        <v>#VALUE!</v>
      </c>
      <c r="Q85" s="23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">
      <c r="A86" s="179">
        <f>'Données projet'!A89</f>
        <v>30</v>
      </c>
      <c r="B86" s="180">
        <f>'Données projet'!D89</f>
        <v>0</v>
      </c>
      <c r="C86" s="190">
        <f>'Données projet'!E89*300+SUM('Données projet'!F89:G89)*13.8+'Données projet'!H89*10</f>
        <v>10</v>
      </c>
      <c r="D86" s="178">
        <f t="shared" ref="D86:D104" si="6">B86*C86</f>
        <v>0</v>
      </c>
      <c r="E86" s="192"/>
      <c r="F86" s="231"/>
      <c r="G86" s="204"/>
      <c r="H86" s="189"/>
      <c r="I86" s="190"/>
      <c r="J86" s="4"/>
      <c r="K86" s="172"/>
      <c r="L86" s="4"/>
      <c r="M86" s="4"/>
      <c r="N86" s="4"/>
      <c r="O86" s="193" t="e">
        <f>IF(O85+1&lt;=MIN('Données projet'!$E$9:$E$18),O85+1,"STOP")</f>
        <v>#VALUE!</v>
      </c>
      <c r="P86" s="184" t="e">
        <f t="shared" si="5"/>
        <v>#VALUE!</v>
      </c>
      <c r="Q86" s="23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">
      <c r="A87" s="179">
        <f>'Données projet'!A90</f>
        <v>35</v>
      </c>
      <c r="B87" s="180">
        <f>'Données projet'!D90</f>
        <v>13</v>
      </c>
      <c r="C87" s="190">
        <f>'Données projet'!E90*300+SUM('Données projet'!F90:G90)*13.8+'Données projet'!H90*10</f>
        <v>10</v>
      </c>
      <c r="D87" s="178">
        <f t="shared" si="6"/>
        <v>130</v>
      </c>
      <c r="E87" s="192"/>
      <c r="F87" s="231"/>
      <c r="G87" s="204"/>
      <c r="H87" s="189"/>
      <c r="I87" s="190"/>
      <c r="J87" s="4"/>
      <c r="K87" s="172"/>
      <c r="L87" s="4"/>
      <c r="M87" s="4"/>
      <c r="N87" s="4"/>
      <c r="O87" s="193" t="e">
        <f>IF(O86+1&lt;=MIN('Données projet'!$E$9:$E$18),O86+1,"STOP")</f>
        <v>#VALUE!</v>
      </c>
      <c r="P87" s="184" t="e">
        <f t="shared" si="5"/>
        <v>#VALUE!</v>
      </c>
      <c r="Q87" s="23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">
      <c r="A88" s="179">
        <f>'Données projet'!A91</f>
        <v>40</v>
      </c>
      <c r="B88" s="180">
        <f>'Données projet'!D91</f>
        <v>14</v>
      </c>
      <c r="C88" s="190">
        <f>'Données projet'!E91*300+SUM('Données projet'!F91:G91)*13.8+'Données projet'!H91*10</f>
        <v>68</v>
      </c>
      <c r="D88" s="178">
        <f t="shared" si="6"/>
        <v>952</v>
      </c>
      <c r="E88" s="192"/>
      <c r="F88" s="231"/>
      <c r="G88" s="204"/>
      <c r="H88" s="189"/>
      <c r="I88" s="190"/>
      <c r="J88" s="4"/>
      <c r="K88" s="172"/>
      <c r="L88" s="4"/>
      <c r="M88" s="4"/>
      <c r="N88" s="4"/>
      <c r="O88" s="193" t="e">
        <f>IF(O87+1&lt;=MIN('Données projet'!$E$9:$E$18),O87+1,"STOP")</f>
        <v>#VALUE!</v>
      </c>
      <c r="P88" s="184" t="e">
        <f t="shared" si="5"/>
        <v>#VALUE!</v>
      </c>
      <c r="Q88" s="23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">
      <c r="A89" s="179">
        <f>'Données projet'!A92</f>
        <v>45</v>
      </c>
      <c r="B89" s="180">
        <f>'Données projet'!D92</f>
        <v>14</v>
      </c>
      <c r="C89" s="190">
        <f>'Données projet'!E92*300+SUM('Données projet'!F92:G92)*13.8+'Données projet'!H92*10</f>
        <v>97</v>
      </c>
      <c r="D89" s="178">
        <f t="shared" si="6"/>
        <v>1358</v>
      </c>
      <c r="E89" s="192"/>
      <c r="F89" s="231"/>
      <c r="G89" s="204"/>
      <c r="H89" s="189"/>
      <c r="I89" s="190"/>
      <c r="J89" s="4"/>
      <c r="K89" s="172"/>
      <c r="L89" s="4"/>
      <c r="M89" s="4"/>
      <c r="N89" s="4"/>
      <c r="O89" s="193" t="e">
        <f>IF(O88+1&lt;=MIN('Données projet'!$E$9:$E$18),O88+1,"STOP")</f>
        <v>#VALUE!</v>
      </c>
      <c r="P89" s="184" t="e">
        <f t="shared" si="5"/>
        <v>#VALUE!</v>
      </c>
      <c r="Q89" s="23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">
      <c r="A90" s="179">
        <f>'Données projet'!A93</f>
        <v>50</v>
      </c>
      <c r="B90" s="180">
        <f>'Données projet'!D93</f>
        <v>14</v>
      </c>
      <c r="C90" s="190">
        <f>'Données projet'!E93*300+SUM('Données projet'!F93:G93)*13.8+'Données projet'!H93*10</f>
        <v>126</v>
      </c>
      <c r="D90" s="178">
        <f t="shared" si="6"/>
        <v>1764</v>
      </c>
      <c r="E90" s="192"/>
      <c r="F90" s="231"/>
      <c r="G90" s="204"/>
      <c r="H90" s="189"/>
      <c r="I90" s="190"/>
      <c r="J90" s="4"/>
      <c r="K90" s="172"/>
      <c r="L90" s="4"/>
      <c r="M90" s="4"/>
      <c r="N90" s="4"/>
      <c r="O90" s="193" t="e">
        <f>IF(O89+1&lt;=MIN('Données projet'!$E$9:$E$18),O89+1,"STOP")</f>
        <v>#VALUE!</v>
      </c>
      <c r="P90" s="184" t="e">
        <f t="shared" si="5"/>
        <v>#VALUE!</v>
      </c>
      <c r="Q90" s="23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">
      <c r="A91" s="179">
        <f>'Données projet'!A94</f>
        <v>55</v>
      </c>
      <c r="B91" s="180">
        <f>'Données projet'!D94</f>
        <v>14</v>
      </c>
      <c r="C91" s="190">
        <f>'Données projet'!E94*300+SUM('Données projet'!F94:G94)*13.8+'Données projet'!H94*10</f>
        <v>155</v>
      </c>
      <c r="D91" s="178">
        <f t="shared" si="6"/>
        <v>2170</v>
      </c>
      <c r="E91" s="192"/>
      <c r="F91" s="231"/>
      <c r="G91" s="205"/>
      <c r="H91" s="189"/>
      <c r="I91" s="190"/>
      <c r="J91" s="4"/>
      <c r="K91" s="172"/>
      <c r="L91" s="4"/>
      <c r="M91" s="4"/>
      <c r="N91" s="4"/>
      <c r="O91" s="193" t="e">
        <f>IF(O90+1&lt;=MIN('Données projet'!$E$9:$E$18),O90+1,"STOP")</f>
        <v>#VALUE!</v>
      </c>
      <c r="P91" s="184" t="e">
        <f t="shared" si="5"/>
        <v>#VALUE!</v>
      </c>
      <c r="Q91" s="23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">
      <c r="A92" s="179">
        <f>'Données projet'!A95</f>
        <v>60</v>
      </c>
      <c r="B92" s="180">
        <f>'Données projet'!D95</f>
        <v>14</v>
      </c>
      <c r="C92" s="190">
        <f>'Données projet'!E95*300+SUM('Données projet'!F95:G95)*13.8+'Données projet'!H95*10</f>
        <v>184</v>
      </c>
      <c r="D92" s="178">
        <f t="shared" si="6"/>
        <v>2576</v>
      </c>
      <c r="E92" s="192"/>
      <c r="F92" s="231"/>
      <c r="G92" s="205"/>
      <c r="H92" s="189"/>
      <c r="I92" s="190"/>
      <c r="J92" s="4"/>
      <c r="K92" s="172"/>
      <c r="L92" s="4"/>
      <c r="M92" s="4"/>
      <c r="N92" s="4"/>
      <c r="O92" s="193" t="e">
        <f>IF(O91+1&lt;=MIN('Données projet'!$E$9:$E$18),O91+1,"STOP")</f>
        <v>#VALUE!</v>
      </c>
      <c r="P92" s="184" t="e">
        <f t="shared" si="5"/>
        <v>#VALUE!</v>
      </c>
      <c r="Q92" s="23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">
      <c r="A93" s="179">
        <f>'Données projet'!A96</f>
        <v>65</v>
      </c>
      <c r="B93" s="180">
        <f>'Données projet'!D96</f>
        <v>14</v>
      </c>
      <c r="C93" s="190">
        <f>'Données projet'!E96*300+SUM('Données projet'!F96:G96)*13.8+'Données projet'!H96*10</f>
        <v>184</v>
      </c>
      <c r="D93" s="178">
        <f t="shared" si="6"/>
        <v>2576</v>
      </c>
      <c r="E93" s="192"/>
      <c r="F93" s="231"/>
      <c r="G93" s="205"/>
      <c r="H93" s="189"/>
      <c r="I93" s="190"/>
      <c r="J93" s="4"/>
      <c r="K93" s="172"/>
      <c r="L93" s="4"/>
      <c r="M93" s="4"/>
      <c r="N93" s="4"/>
      <c r="O93" s="193" t="e">
        <f>IF(O92+1&lt;=MIN('Données projet'!$E$9:$E$18),O92+1,"STOP")</f>
        <v>#VALUE!</v>
      </c>
      <c r="P93" s="184" t="e">
        <f t="shared" si="5"/>
        <v>#VALUE!</v>
      </c>
      <c r="Q93" s="23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">
      <c r="A94" s="179">
        <f>'Données projet'!A97</f>
        <v>70</v>
      </c>
      <c r="B94" s="180">
        <f>'Données projet'!D97</f>
        <v>14</v>
      </c>
      <c r="C94" s="190">
        <f>'Données projet'!E97*300+SUM('Données projet'!F97:G97)*13.8+'Données projet'!H97*10</f>
        <v>213</v>
      </c>
      <c r="D94" s="178">
        <f t="shared" si="6"/>
        <v>2982</v>
      </c>
      <c r="E94" s="192"/>
      <c r="F94" s="231"/>
      <c r="G94" s="205"/>
      <c r="H94" s="189"/>
      <c r="I94" s="190"/>
      <c r="J94" s="4"/>
      <c r="K94" s="172"/>
      <c r="L94" s="4"/>
      <c r="M94" s="4"/>
      <c r="N94" s="4"/>
      <c r="O94" s="193" t="e">
        <f>IF(O93+1&lt;=MIN('Données projet'!$E$9:$E$18),O93+1,"STOP")</f>
        <v>#VALUE!</v>
      </c>
      <c r="P94" s="184" t="e">
        <f t="shared" si="5"/>
        <v>#VALUE!</v>
      </c>
      <c r="Q94" s="23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">
      <c r="A95" s="179">
        <f>'Données projet'!A98</f>
        <v>75</v>
      </c>
      <c r="B95" s="180">
        <f>'Données projet'!D98</f>
        <v>14</v>
      </c>
      <c r="C95" s="190">
        <f>'Données projet'!E98*300+SUM('Données projet'!F98:G98)*13.8+'Données projet'!H98*10</f>
        <v>213</v>
      </c>
      <c r="D95" s="178">
        <f t="shared" si="6"/>
        <v>2982</v>
      </c>
      <c r="E95" s="192"/>
      <c r="F95" s="231"/>
      <c r="G95" s="205"/>
      <c r="H95" s="189"/>
      <c r="I95" s="190"/>
      <c r="J95" s="4"/>
      <c r="K95" s="172"/>
      <c r="L95" s="4"/>
      <c r="M95" s="4"/>
      <c r="N95" s="4"/>
      <c r="O95" s="193" t="e">
        <f>IF(O94+1&lt;=MIN('Données projet'!$E$9:$E$18),O94+1,"STOP")</f>
        <v>#VALUE!</v>
      </c>
      <c r="P95" s="184" t="e">
        <f t="shared" si="5"/>
        <v>#VALUE!</v>
      </c>
      <c r="Q95" s="23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">
      <c r="A96" s="179">
        <f>'Données projet'!A99</f>
        <v>80</v>
      </c>
      <c r="B96" s="180">
        <f>'Données projet'!D99</f>
        <v>192</v>
      </c>
      <c r="C96" s="190">
        <f>'Données projet'!E99*300+SUM('Données projet'!F99:G99)*13.8+'Données projet'!H99*10</f>
        <v>242</v>
      </c>
      <c r="D96" s="178">
        <f t="shared" si="6"/>
        <v>46464</v>
      </c>
      <c r="E96" s="192"/>
      <c r="F96" s="231"/>
      <c r="G96" s="205"/>
      <c r="H96" s="189"/>
      <c r="I96" s="190"/>
      <c r="J96" s="4"/>
      <c r="K96" s="172"/>
      <c r="L96" s="4"/>
      <c r="M96" s="4"/>
      <c r="N96" s="4"/>
      <c r="O96" s="193" t="e">
        <f>IF(O95+1&lt;=MIN('Données projet'!$E$9:$E$18),O95+1,"STOP")</f>
        <v>#VALUE!</v>
      </c>
      <c r="P96" s="184" t="e">
        <f t="shared" si="5"/>
        <v>#VALUE!</v>
      </c>
      <c r="Q96" s="23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">
      <c r="A97" s="179">
        <f>'Données projet'!A100</f>
        <v>0</v>
      </c>
      <c r="B97" s="180">
        <f>'Données projet'!D100</f>
        <v>0</v>
      </c>
      <c r="C97" s="190">
        <f>'Données projet'!E100*300+SUM('Données projet'!F100:G100)*13.8+'Données projet'!H100*10</f>
        <v>0</v>
      </c>
      <c r="D97" s="178">
        <f t="shared" si="6"/>
        <v>0</v>
      </c>
      <c r="E97" s="192"/>
      <c r="F97" s="231"/>
      <c r="G97" s="205"/>
      <c r="H97" s="189"/>
      <c r="I97" s="190"/>
      <c r="J97" s="4"/>
      <c r="K97" s="172"/>
      <c r="L97" s="4"/>
      <c r="M97" s="4"/>
      <c r="N97" s="4"/>
      <c r="O97" s="193" t="e">
        <f>IF(O96+1&lt;=MIN('Données projet'!$E$9:$E$18),O96+1,"STOP")</f>
        <v>#VALUE!</v>
      </c>
      <c r="P97" s="184" t="e">
        <f t="shared" ref="P97:P128" si="7">$P$25/(1+$M$4)^O97</f>
        <v>#VALUE!</v>
      </c>
      <c r="Q97" s="23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">
      <c r="A98" s="179">
        <f>'Données projet'!A101</f>
        <v>0</v>
      </c>
      <c r="B98" s="180">
        <f>'Données projet'!D101</f>
        <v>0</v>
      </c>
      <c r="C98" s="190">
        <f>'Données projet'!E101*300+SUM('Données projet'!F101:G101)*13.8+'Données projet'!H101*10</f>
        <v>0</v>
      </c>
      <c r="D98" s="178">
        <f t="shared" si="6"/>
        <v>0</v>
      </c>
      <c r="E98" s="192"/>
      <c r="F98" s="231"/>
      <c r="G98" s="205"/>
      <c r="H98" s="189"/>
      <c r="I98" s="190"/>
      <c r="J98" s="4"/>
      <c r="K98" s="172"/>
      <c r="L98" s="4"/>
      <c r="M98" s="4"/>
      <c r="N98" s="4"/>
      <c r="O98" s="193" t="e">
        <f>IF(O97+1&lt;=MIN('Données projet'!$E$9:$E$18),O97+1,"STOP")</f>
        <v>#VALUE!</v>
      </c>
      <c r="P98" s="184" t="e">
        <f t="shared" si="7"/>
        <v>#VALUE!</v>
      </c>
      <c r="Q98" s="23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">
      <c r="A99" s="179">
        <f>'Données projet'!A102</f>
        <v>0</v>
      </c>
      <c r="B99" s="180">
        <f>'Données projet'!D102</f>
        <v>0</v>
      </c>
      <c r="C99" s="190">
        <f>'Données projet'!E102*300+SUM('Données projet'!F102:G102)*13.8+'Données projet'!H102*10</f>
        <v>0</v>
      </c>
      <c r="D99" s="178">
        <f t="shared" si="6"/>
        <v>0</v>
      </c>
      <c r="E99" s="192"/>
      <c r="F99" s="231"/>
      <c r="G99" s="205"/>
      <c r="H99" s="189"/>
      <c r="I99" s="190"/>
      <c r="J99" s="4"/>
      <c r="K99" s="172"/>
      <c r="L99" s="4"/>
      <c r="M99" s="4"/>
      <c r="N99" s="4"/>
      <c r="O99" s="193" t="e">
        <f>IF(O98+1&lt;=MIN('Données projet'!$E$9:$E$18),O98+1,"STOP")</f>
        <v>#VALUE!</v>
      </c>
      <c r="P99" s="184" t="e">
        <f t="shared" si="7"/>
        <v>#VALUE!</v>
      </c>
      <c r="Q99" s="23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">
      <c r="A100" s="179">
        <f>'Données projet'!A103</f>
        <v>0</v>
      </c>
      <c r="B100" s="180">
        <f>'Données projet'!D103</f>
        <v>0</v>
      </c>
      <c r="C100" s="190">
        <f>'Données projet'!E103*300+SUM('Données projet'!F103:G103)*13.8+'Données projet'!H103*10</f>
        <v>0</v>
      </c>
      <c r="D100" s="178">
        <f t="shared" si="6"/>
        <v>0</v>
      </c>
      <c r="E100" s="192"/>
      <c r="F100" s="231"/>
      <c r="G100" s="205"/>
      <c r="H100" s="189"/>
      <c r="I100" s="190"/>
      <c r="J100" s="4"/>
      <c r="K100" s="172"/>
      <c r="L100" s="4"/>
      <c r="M100" s="4"/>
      <c r="N100" s="4"/>
      <c r="O100" s="193" t="e">
        <f>IF(O99+1&lt;=MIN('Données projet'!$E$9:$E$18),O99+1,"STOP")</f>
        <v>#VALUE!</v>
      </c>
      <c r="P100" s="184" t="e">
        <f t="shared" si="7"/>
        <v>#VALUE!</v>
      </c>
      <c r="Q100" s="23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">
      <c r="A101" s="179">
        <f>'Données projet'!A104</f>
        <v>0</v>
      </c>
      <c r="B101" s="180">
        <f>'Données projet'!D104</f>
        <v>0</v>
      </c>
      <c r="C101" s="190">
        <f>'Données projet'!E104*300+SUM('Données projet'!F104:G104)*13.8+'Données projet'!H104*10</f>
        <v>0</v>
      </c>
      <c r="D101" s="178">
        <f t="shared" si="6"/>
        <v>0</v>
      </c>
      <c r="E101" s="192"/>
      <c r="F101" s="231"/>
      <c r="G101" s="205"/>
      <c r="H101" s="189"/>
      <c r="I101" s="190"/>
      <c r="J101" s="4"/>
      <c r="K101" s="172"/>
      <c r="L101" s="4"/>
      <c r="M101" s="4"/>
      <c r="N101" s="4"/>
      <c r="O101" s="193" t="e">
        <f>IF(O100+1&lt;=MIN('Données projet'!$E$9:$E$18),O100+1,"STOP")</f>
        <v>#VALUE!</v>
      </c>
      <c r="P101" s="184" t="e">
        <f t="shared" si="7"/>
        <v>#VALUE!</v>
      </c>
      <c r="Q101" s="23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">
      <c r="A102" s="179">
        <f>'Données projet'!A105</f>
        <v>0</v>
      </c>
      <c r="B102" s="180">
        <f>'Données projet'!D105</f>
        <v>0</v>
      </c>
      <c r="C102" s="190">
        <f>'Données projet'!E105*300+SUM('Données projet'!F105:G105)*13.8+'Données projet'!H105*10</f>
        <v>0</v>
      </c>
      <c r="D102" s="178">
        <f t="shared" si="6"/>
        <v>0</v>
      </c>
      <c r="E102" s="192"/>
      <c r="F102" s="231"/>
      <c r="G102" s="205"/>
      <c r="H102" s="189"/>
      <c r="I102" s="190"/>
      <c r="J102" s="4"/>
      <c r="K102" s="172"/>
      <c r="L102" s="4"/>
      <c r="M102" s="4"/>
      <c r="N102" s="4"/>
      <c r="O102" s="193" t="e">
        <f>IF(O101+1&lt;=MIN('Données projet'!$E$9:$E$18),O101+1,"STOP")</f>
        <v>#VALUE!</v>
      </c>
      <c r="P102" s="184" t="e">
        <f t="shared" si="7"/>
        <v>#VALUE!</v>
      </c>
      <c r="Q102" s="23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">
      <c r="A103" s="179">
        <f>'Données projet'!A106</f>
        <v>0</v>
      </c>
      <c r="B103" s="180">
        <f>'Données projet'!D106</f>
        <v>0</v>
      </c>
      <c r="C103" s="190">
        <f>'Données projet'!E106*300+SUM('Données projet'!F106:G106)*13.8+'Données projet'!H106*10</f>
        <v>0</v>
      </c>
      <c r="D103" s="178">
        <f t="shared" si="6"/>
        <v>0</v>
      </c>
      <c r="E103" s="192"/>
      <c r="F103" s="231"/>
      <c r="G103" s="205"/>
      <c r="H103" s="189"/>
      <c r="I103" s="190"/>
      <c r="J103" s="4"/>
      <c r="K103" s="172"/>
      <c r="L103" s="4"/>
      <c r="M103" s="4"/>
      <c r="N103" s="4"/>
      <c r="O103" s="193" t="e">
        <f>IF(O102+1&lt;=MIN('Données projet'!$E$9:$E$18),O102+1,"STOP")</f>
        <v>#VALUE!</v>
      </c>
      <c r="P103" s="184" t="e">
        <f t="shared" si="7"/>
        <v>#VALUE!</v>
      </c>
      <c r="Q103" s="23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">
      <c r="A104" s="179">
        <f>'Données projet'!A107</f>
        <v>0</v>
      </c>
      <c r="B104" s="180">
        <f>'Données projet'!D107</f>
        <v>0</v>
      </c>
      <c r="C104" s="190">
        <f>'Données projet'!E107*300+SUM('Données projet'!F107:G107)*13.8+'Données projet'!H107*10</f>
        <v>0</v>
      </c>
      <c r="D104" s="178">
        <f t="shared" si="6"/>
        <v>0</v>
      </c>
      <c r="E104" s="192"/>
      <c r="F104" s="231"/>
      <c r="G104" s="205"/>
      <c r="H104" s="189"/>
      <c r="I104" s="190"/>
      <c r="J104" s="4"/>
      <c r="K104" s="172"/>
      <c r="L104" s="4"/>
      <c r="M104" s="4"/>
      <c r="N104" s="4"/>
      <c r="O104" s="193" t="e">
        <f>IF(O103+1&lt;=MIN('Données projet'!$E$9:$E$18),O103+1,"STOP")</f>
        <v>#VALUE!</v>
      </c>
      <c r="P104" s="184" t="e">
        <f t="shared" si="7"/>
        <v>#VALUE!</v>
      </c>
      <c r="Q104" s="23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">
      <c r="A105" s="4"/>
      <c r="B105" s="4"/>
      <c r="C105" s="4"/>
      <c r="D105" s="4"/>
      <c r="E105" s="4"/>
      <c r="F105" s="229"/>
      <c r="G105" s="205"/>
      <c r="H105" s="189"/>
      <c r="I105" s="190"/>
      <c r="J105" s="4"/>
      <c r="K105" s="172"/>
      <c r="L105" s="4"/>
      <c r="M105" s="4"/>
      <c r="N105" s="4"/>
      <c r="O105" s="193" t="e">
        <f>IF(O104+1&lt;=MIN('Données projet'!$E$9:$E$18),O104+1,"STOP")</f>
        <v>#VALUE!</v>
      </c>
      <c r="P105" s="184" t="e">
        <f t="shared" si="7"/>
        <v>#VALUE!</v>
      </c>
      <c r="Q105" s="23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">
      <c r="A106" s="4"/>
      <c r="B106" s="4"/>
      <c r="C106" s="4"/>
      <c r="D106" s="4"/>
      <c r="E106" s="4"/>
      <c r="F106" s="229"/>
      <c r="G106" s="205"/>
      <c r="H106" s="189"/>
      <c r="I106" s="190"/>
      <c r="J106" s="4"/>
      <c r="K106" s="172"/>
      <c r="L106" s="4"/>
      <c r="M106" s="4"/>
      <c r="N106" s="4"/>
      <c r="O106" s="193" t="e">
        <f>IF(O105+1&lt;=MIN('Données projet'!$E$9:$E$18),O105+1,"STOP")</f>
        <v>#VALUE!</v>
      </c>
      <c r="P106" s="184" t="e">
        <f t="shared" si="7"/>
        <v>#VALUE!</v>
      </c>
      <c r="Q106" s="23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">
      <c r="A107" s="46" t="s">
        <v>168</v>
      </c>
      <c r="B107" s="173" t="str">
        <f>IF('Données projet'!B12="","",'Données projet'!B12)</f>
        <v>Chêne sessile</v>
      </c>
      <c r="C107" s="4"/>
      <c r="D107" s="4"/>
      <c r="E107" s="4"/>
      <c r="F107" s="256" t="s">
        <v>325</v>
      </c>
      <c r="G107" s="205"/>
      <c r="H107" s="189"/>
      <c r="I107" s="190"/>
      <c r="J107" s="4"/>
      <c r="K107" s="172"/>
      <c r="L107" s="4"/>
      <c r="M107" s="4"/>
      <c r="N107" s="4"/>
      <c r="O107" s="193" t="e">
        <f>IF(O106+1&lt;=MIN('Données projet'!$E$9:$E$18),O106+1,"STOP")</f>
        <v>#VALUE!</v>
      </c>
      <c r="P107" s="184" t="e">
        <f t="shared" si="7"/>
        <v>#VALUE!</v>
      </c>
      <c r="Q107" s="23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">
      <c r="A108" s="4"/>
      <c r="B108" s="4"/>
      <c r="C108" s="4"/>
      <c r="D108" s="4"/>
      <c r="E108" s="4"/>
      <c r="F108" s="229"/>
      <c r="G108" s="205"/>
      <c r="H108" s="189"/>
      <c r="I108" s="190"/>
      <c r="J108" s="4"/>
      <c r="K108" s="172"/>
      <c r="L108" s="4"/>
      <c r="M108" s="4"/>
      <c r="N108" s="4"/>
      <c r="O108" s="193" t="e">
        <f>IF(O107+1&lt;=MIN('Données projet'!$E$9:$E$18),O107+1,"STOP")</f>
        <v>#VALUE!</v>
      </c>
      <c r="P108" s="184" t="e">
        <f t="shared" si="7"/>
        <v>#VALUE!</v>
      </c>
      <c r="Q108" s="23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16" x14ac:dyDescent="0.2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0"/>
      <c r="G109" s="205"/>
      <c r="H109" s="189"/>
      <c r="I109" s="190"/>
      <c r="J109" s="4"/>
      <c r="K109" s="172"/>
      <c r="L109" s="4"/>
      <c r="M109" s="4"/>
      <c r="N109" s="4"/>
      <c r="O109" s="193" t="e">
        <f>IF(O108+1&lt;=MIN('Données projet'!$E$9:$E$18),O108+1,"STOP")</f>
        <v>#VALUE!</v>
      </c>
      <c r="P109" s="184" t="e">
        <f t="shared" si="7"/>
        <v>#VALUE!</v>
      </c>
      <c r="Q109" s="23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ht="16" x14ac:dyDescent="0.2">
      <c r="A110" s="49">
        <v>0</v>
      </c>
      <c r="B110" s="198" t="s">
        <v>132</v>
      </c>
      <c r="C110" s="197" t="s">
        <v>132</v>
      </c>
      <c r="D110" s="196" t="s">
        <v>132</v>
      </c>
      <c r="E110" s="192">
        <v>2740.81</v>
      </c>
      <c r="F110" s="230"/>
      <c r="G110" s="205"/>
      <c r="H110" s="189"/>
      <c r="I110" s="190"/>
      <c r="J110" s="4"/>
      <c r="K110" s="172"/>
      <c r="L110" s="4"/>
      <c r="M110" s="4"/>
      <c r="N110" s="4"/>
      <c r="O110" s="193" t="e">
        <f>IF(O109+1&lt;=MIN('Données projet'!$E$9:$E$18),O109+1,"STOP")</f>
        <v>#VALUE!</v>
      </c>
      <c r="P110" s="184" t="e">
        <f t="shared" si="7"/>
        <v>#VALUE!</v>
      </c>
      <c r="Q110" s="23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ht="16" x14ac:dyDescent="0.2">
      <c r="A111" s="49">
        <v>1</v>
      </c>
      <c r="B111" s="198" t="s">
        <v>132</v>
      </c>
      <c r="C111" s="197" t="s">
        <v>132</v>
      </c>
      <c r="D111" s="196" t="s">
        <v>132</v>
      </c>
      <c r="E111" s="192"/>
      <c r="F111" s="230"/>
      <c r="G111" s="23"/>
      <c r="H111" s="189"/>
      <c r="I111" s="190"/>
      <c r="J111" s="4"/>
      <c r="K111" s="172"/>
      <c r="L111" s="4"/>
      <c r="M111" s="4"/>
      <c r="N111" s="4"/>
      <c r="O111" s="193" t="e">
        <f>IF(O110+1&lt;=MIN('Données projet'!$E$9:$E$18),O110+1,"STOP")</f>
        <v>#VALUE!</v>
      </c>
      <c r="P111" s="184" t="e">
        <f t="shared" si="7"/>
        <v>#VALUE!</v>
      </c>
      <c r="Q111" s="23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ht="16" x14ac:dyDescent="0.2">
      <c r="A112" s="49">
        <v>2</v>
      </c>
      <c r="B112" s="198" t="s">
        <v>132</v>
      </c>
      <c r="C112" s="197" t="s">
        <v>132</v>
      </c>
      <c r="D112" s="196" t="s">
        <v>132</v>
      </c>
      <c r="E112" s="192"/>
      <c r="F112" s="230"/>
      <c r="G112" s="23"/>
      <c r="H112" s="189"/>
      <c r="I112" s="190"/>
      <c r="J112" s="4"/>
      <c r="K112" s="172"/>
      <c r="L112" s="4"/>
      <c r="M112" s="4"/>
      <c r="N112" s="4"/>
      <c r="O112" s="193" t="e">
        <f>IF(O111+1&lt;=MIN('Données projet'!$E$9:$E$18),O111+1,"STOP")</f>
        <v>#VALUE!</v>
      </c>
      <c r="P112" s="184" t="e">
        <f t="shared" si="7"/>
        <v>#VALUE!</v>
      </c>
      <c r="Q112" s="23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ht="16" x14ac:dyDescent="0.2">
      <c r="A113" s="49">
        <v>3</v>
      </c>
      <c r="B113" s="198" t="s">
        <v>132</v>
      </c>
      <c r="C113" s="197" t="s">
        <v>132</v>
      </c>
      <c r="D113" s="196" t="s">
        <v>132</v>
      </c>
      <c r="E113" s="192"/>
      <c r="F113" s="230"/>
      <c r="G113" s="23"/>
      <c r="H113" s="189"/>
      <c r="I113" s="190"/>
      <c r="J113" s="4"/>
      <c r="K113" s="172"/>
      <c r="L113" s="4"/>
      <c r="M113" s="4"/>
      <c r="N113" s="4"/>
      <c r="O113" s="193" t="e">
        <f>IF(O112+1&lt;=MIN('Données projet'!$E$9:$E$18),O112+1,"STOP")</f>
        <v>#VALUE!</v>
      </c>
      <c r="P113" s="184" t="e">
        <f t="shared" si="7"/>
        <v>#VALUE!</v>
      </c>
      <c r="Q113" s="23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ht="16" x14ac:dyDescent="0.2">
      <c r="A114" s="49">
        <v>4</v>
      </c>
      <c r="B114" s="198" t="s">
        <v>132</v>
      </c>
      <c r="C114" s="197" t="s">
        <v>132</v>
      </c>
      <c r="D114" s="196" t="s">
        <v>132</v>
      </c>
      <c r="E114" s="192"/>
      <c r="F114" s="230"/>
      <c r="G114" s="23"/>
      <c r="H114" s="189"/>
      <c r="I114" s="190"/>
      <c r="J114" s="4"/>
      <c r="K114" s="172"/>
      <c r="L114" s="4"/>
      <c r="M114" s="4"/>
      <c r="N114" s="4"/>
      <c r="O114" s="193" t="e">
        <f>IF(O113+1&lt;=MIN('Données projet'!$E$9:$E$18),O113+1,"STOP")</f>
        <v>#VALUE!</v>
      </c>
      <c r="P114" s="184" t="e">
        <f t="shared" si="7"/>
        <v>#VALUE!</v>
      </c>
      <c r="Q114" s="23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">
      <c r="A115" s="49">
        <v>5</v>
      </c>
      <c r="B115" s="198" t="s">
        <v>132</v>
      </c>
      <c r="C115" s="197" t="s">
        <v>132</v>
      </c>
      <c r="D115" s="196" t="s">
        <v>132</v>
      </c>
      <c r="E115" s="192"/>
      <c r="F115" s="230"/>
      <c r="G115" s="204"/>
      <c r="H115" s="189"/>
      <c r="I115" s="190"/>
      <c r="J115" s="4"/>
      <c r="K115" s="172"/>
      <c r="L115" s="4"/>
      <c r="M115" s="4"/>
      <c r="N115" s="4"/>
      <c r="O115" s="193" t="e">
        <f>IF(O114+1&lt;=MIN('Données projet'!$E$9:$E$18),O114+1,"STOP")</f>
        <v>#VALUE!</v>
      </c>
      <c r="P115" s="184" t="e">
        <f t="shared" si="7"/>
        <v>#VALUE!</v>
      </c>
      <c r="Q115" s="23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">
      <c r="A116" s="179">
        <f>'Données projet'!A114</f>
        <v>25</v>
      </c>
      <c r="B116" s="180">
        <f>'Données projet'!D114</f>
        <v>0</v>
      </c>
      <c r="C116" s="190">
        <f>'Données projet'!E114*50+SUM('Données projet'!F114:G114)*13.8+'Données projet'!H114*10</f>
        <v>10</v>
      </c>
      <c r="D116" s="178">
        <f>B116*C116</f>
        <v>0</v>
      </c>
      <c r="E116" s="192"/>
      <c r="F116" s="231"/>
      <c r="G116" s="204"/>
      <c r="H116" s="189"/>
      <c r="I116" s="190"/>
      <c r="J116" s="4"/>
      <c r="K116" s="172"/>
      <c r="L116" s="4"/>
      <c r="M116" s="4"/>
      <c r="N116" s="4"/>
      <c r="O116" s="193" t="e">
        <f>IF(O115+1&lt;=MIN('Données projet'!$E$9:$E$18),O115+1,"STOP")</f>
        <v>#VALUE!</v>
      </c>
      <c r="P116" s="184" t="e">
        <f t="shared" si="7"/>
        <v>#VALUE!</v>
      </c>
      <c r="Q116" s="23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">
      <c r="A117" s="179">
        <f>'Données projet'!A115</f>
        <v>30</v>
      </c>
      <c r="B117" s="180">
        <f>'Données projet'!D115</f>
        <v>0</v>
      </c>
      <c r="C117" s="190">
        <f>'Données projet'!E115*50+SUM('Données projet'!F115:G115)*13.8+'Données projet'!H115*10</f>
        <v>10</v>
      </c>
      <c r="D117" s="178">
        <f t="shared" ref="D117:D135" si="8">B117*C117</f>
        <v>0</v>
      </c>
      <c r="E117" s="192"/>
      <c r="F117" s="231"/>
      <c r="G117" s="204"/>
      <c r="H117" s="189"/>
      <c r="I117" s="190"/>
      <c r="J117" s="4"/>
      <c r="K117" s="172"/>
      <c r="L117" s="4"/>
      <c r="M117" s="4"/>
      <c r="N117" s="4"/>
      <c r="O117" s="193" t="e">
        <f>IF(O116+1&lt;=MIN('Données projet'!$E$9:$E$18),O116+1,"STOP")</f>
        <v>#VALUE!</v>
      </c>
      <c r="P117" s="184" t="e">
        <f t="shared" si="7"/>
        <v>#VALUE!</v>
      </c>
      <c r="Q117" s="23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">
      <c r="A118" s="179">
        <f>'Données projet'!A116</f>
        <v>35</v>
      </c>
      <c r="B118" s="180">
        <f>'Données projet'!D116</f>
        <v>13</v>
      </c>
      <c r="C118" s="190">
        <f>'Données projet'!E116*50+SUM('Données projet'!F116:G116)*13.8+'Données projet'!H116*10</f>
        <v>10</v>
      </c>
      <c r="D118" s="178">
        <f t="shared" si="8"/>
        <v>130</v>
      </c>
      <c r="E118" s="192"/>
      <c r="F118" s="231"/>
      <c r="G118" s="204"/>
      <c r="H118" s="189"/>
      <c r="I118" s="190"/>
      <c r="J118" s="4"/>
      <c r="K118" s="172"/>
      <c r="L118" s="4"/>
      <c r="M118" s="4"/>
      <c r="N118" s="4"/>
      <c r="O118" s="193" t="e">
        <f>IF(O117+1&lt;=MIN('Données projet'!$E$9:$E$18),O117+1,"STOP")</f>
        <v>#VALUE!</v>
      </c>
      <c r="P118" s="184" t="e">
        <f t="shared" si="7"/>
        <v>#VALUE!</v>
      </c>
      <c r="Q118" s="23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">
      <c r="A119" s="179">
        <f>'Données projet'!A117</f>
        <v>40</v>
      </c>
      <c r="B119" s="180">
        <f>'Données projet'!D117</f>
        <v>14</v>
      </c>
      <c r="C119" s="190">
        <f>'Données projet'!E117*50+SUM('Données projet'!F117:G117)*13.8+'Données projet'!H117*10</f>
        <v>18</v>
      </c>
      <c r="D119" s="178">
        <f t="shared" si="8"/>
        <v>252</v>
      </c>
      <c r="E119" s="192"/>
      <c r="F119" s="231"/>
      <c r="G119" s="204"/>
      <c r="H119" s="189"/>
      <c r="I119" s="190"/>
      <c r="J119" s="4"/>
      <c r="K119" s="172"/>
      <c r="L119" s="4"/>
      <c r="M119" s="4"/>
      <c r="N119" s="4"/>
      <c r="O119" s="193" t="e">
        <f>IF(O118+1&lt;=MIN('Données projet'!$E$9:$E$18),O118+1,"STOP")</f>
        <v>#VALUE!</v>
      </c>
      <c r="P119" s="184" t="e">
        <f t="shared" si="7"/>
        <v>#VALUE!</v>
      </c>
      <c r="Q119" s="23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">
      <c r="A120" s="179">
        <f>'Données projet'!A118</f>
        <v>45</v>
      </c>
      <c r="B120" s="180">
        <f>'Données projet'!D118</f>
        <v>14</v>
      </c>
      <c r="C120" s="190">
        <f>'Données projet'!E118*50+SUM('Données projet'!F118:G118)*13.8+'Données projet'!H118*10</f>
        <v>22</v>
      </c>
      <c r="D120" s="178">
        <f t="shared" si="8"/>
        <v>308</v>
      </c>
      <c r="E120" s="192"/>
      <c r="F120" s="231"/>
      <c r="G120" s="204"/>
      <c r="H120" s="189"/>
      <c r="I120" s="190"/>
      <c r="J120" s="4"/>
      <c r="K120" s="172"/>
      <c r="L120" s="4"/>
      <c r="M120" s="4"/>
      <c r="N120" s="4"/>
      <c r="O120" s="193" t="e">
        <f>IF(O119+1&lt;=MIN('Données projet'!$E$9:$E$18),O119+1,"STOP")</f>
        <v>#VALUE!</v>
      </c>
      <c r="P120" s="184" t="e">
        <f t="shared" si="7"/>
        <v>#VALUE!</v>
      </c>
      <c r="Q120" s="23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">
      <c r="A121" s="179">
        <f>'Données projet'!A119</f>
        <v>50</v>
      </c>
      <c r="B121" s="180">
        <f>'Données projet'!D119</f>
        <v>14</v>
      </c>
      <c r="C121" s="190">
        <f>'Données projet'!E119*50+SUM('Données projet'!F119:G119)*13.8+'Données projet'!H119*10</f>
        <v>26</v>
      </c>
      <c r="D121" s="178">
        <f t="shared" si="8"/>
        <v>364</v>
      </c>
      <c r="E121" s="192"/>
      <c r="F121" s="231"/>
      <c r="G121" s="204"/>
      <c r="H121" s="189"/>
      <c r="I121" s="190"/>
      <c r="J121" s="4"/>
      <c r="K121" s="172"/>
      <c r="L121" s="4"/>
      <c r="M121" s="4"/>
      <c r="N121" s="4"/>
      <c r="O121" s="193" t="e">
        <f>IF(O120+1&lt;=MIN('Données projet'!$E$9:$E$18),O120+1,"STOP")</f>
        <v>#VALUE!</v>
      </c>
      <c r="P121" s="184" t="e">
        <f t="shared" si="7"/>
        <v>#VALUE!</v>
      </c>
      <c r="Q121" s="23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">
      <c r="A122" s="179">
        <f>'Données projet'!A120</f>
        <v>55</v>
      </c>
      <c r="B122" s="180">
        <f>'Données projet'!D120</f>
        <v>14</v>
      </c>
      <c r="C122" s="190">
        <f>'Données projet'!E120*50+SUM('Données projet'!F120:G120)*13.8+'Données projet'!H120*10</f>
        <v>30</v>
      </c>
      <c r="D122" s="178">
        <f t="shared" si="8"/>
        <v>420</v>
      </c>
      <c r="E122" s="192"/>
      <c r="F122" s="231"/>
      <c r="G122" s="205"/>
      <c r="H122" s="189"/>
      <c r="I122" s="190"/>
      <c r="J122" s="4"/>
      <c r="K122" s="172"/>
      <c r="L122" s="4"/>
      <c r="M122" s="4"/>
      <c r="N122" s="4"/>
      <c r="O122" s="193" t="e">
        <f>IF(O121+1&lt;=MIN('Données projet'!$E$9:$E$18),O121+1,"STOP")</f>
        <v>#VALUE!</v>
      </c>
      <c r="P122" s="184" t="e">
        <f t="shared" si="7"/>
        <v>#VALUE!</v>
      </c>
      <c r="Q122" s="23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">
      <c r="A123" s="179">
        <f>'Données projet'!A121</f>
        <v>60</v>
      </c>
      <c r="B123" s="180">
        <f>'Données projet'!D121</f>
        <v>14</v>
      </c>
      <c r="C123" s="190">
        <f>'Données projet'!E121*50+SUM('Données projet'!F121:G121)*13.8+'Données projet'!H121*10</f>
        <v>34</v>
      </c>
      <c r="D123" s="178">
        <f t="shared" si="8"/>
        <v>476</v>
      </c>
      <c r="E123" s="192"/>
      <c r="F123" s="231"/>
      <c r="G123" s="205"/>
      <c r="H123" s="189"/>
      <c r="I123" s="190"/>
      <c r="J123" s="4"/>
      <c r="K123" s="172"/>
      <c r="L123" s="4"/>
      <c r="M123" s="4"/>
      <c r="N123" s="4"/>
      <c r="O123" s="193" t="e">
        <f>IF(O122+1&lt;=MIN('Données projet'!$E$9:$E$18),O122+1,"STOP")</f>
        <v>#VALUE!</v>
      </c>
      <c r="P123" s="184" t="e">
        <f t="shared" si="7"/>
        <v>#VALUE!</v>
      </c>
      <c r="Q123" s="23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">
      <c r="A124" s="179">
        <f>'Données projet'!A122</f>
        <v>65</v>
      </c>
      <c r="B124" s="180">
        <f>'Données projet'!D122</f>
        <v>14</v>
      </c>
      <c r="C124" s="190">
        <f>'Données projet'!E122*50+SUM('Données projet'!F122:G122)*13.8+'Données projet'!H122*10</f>
        <v>34</v>
      </c>
      <c r="D124" s="178">
        <f t="shared" si="8"/>
        <v>476</v>
      </c>
      <c r="E124" s="192"/>
      <c r="F124" s="231"/>
      <c r="G124" s="205"/>
      <c r="H124" s="189"/>
      <c r="I124" s="190"/>
      <c r="J124" s="4"/>
      <c r="K124" s="172"/>
      <c r="L124" s="4"/>
      <c r="M124" s="4"/>
      <c r="N124" s="4"/>
      <c r="O124" s="193" t="e">
        <f>IF(O123+1&lt;=MIN('Données projet'!$E$9:$E$18),O123+1,"STOP")</f>
        <v>#VALUE!</v>
      </c>
      <c r="P124" s="184" t="e">
        <f t="shared" si="7"/>
        <v>#VALUE!</v>
      </c>
      <c r="Q124" s="23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">
      <c r="A125" s="179">
        <f>'Données projet'!A123</f>
        <v>70</v>
      </c>
      <c r="B125" s="180">
        <f>'Données projet'!D123</f>
        <v>14</v>
      </c>
      <c r="C125" s="190">
        <f>'Données projet'!E123*50+SUM('Données projet'!F123:G123)*13.8+'Données projet'!H123*10</f>
        <v>38</v>
      </c>
      <c r="D125" s="178">
        <f t="shared" si="8"/>
        <v>532</v>
      </c>
      <c r="E125" s="192"/>
      <c r="F125" s="231"/>
      <c r="G125" s="205"/>
      <c r="H125" s="189"/>
      <c r="I125" s="190"/>
      <c r="J125" s="4"/>
      <c r="K125" s="172"/>
      <c r="L125" s="4"/>
      <c r="M125" s="4"/>
      <c r="N125" s="4"/>
      <c r="O125" s="193" t="e">
        <f>IF(O124+1&lt;=MIN('Données projet'!$E$9:$E$18),O124+1,"STOP")</f>
        <v>#VALUE!</v>
      </c>
      <c r="P125" s="184" t="e">
        <f t="shared" si="7"/>
        <v>#VALUE!</v>
      </c>
      <c r="Q125" s="23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">
      <c r="A126" s="179">
        <f>'Données projet'!A124</f>
        <v>75</v>
      </c>
      <c r="B126" s="180">
        <f>'Données projet'!D124</f>
        <v>14</v>
      </c>
      <c r="C126" s="190">
        <f>'Données projet'!E124*50+SUM('Données projet'!F124:G124)*13.8+'Données projet'!H124*10</f>
        <v>38</v>
      </c>
      <c r="D126" s="178">
        <f t="shared" si="8"/>
        <v>532</v>
      </c>
      <c r="E126" s="192"/>
      <c r="F126" s="231"/>
      <c r="G126" s="205"/>
      <c r="H126" s="189"/>
      <c r="I126" s="190"/>
      <c r="J126" s="4"/>
      <c r="K126" s="172"/>
      <c r="L126" s="4"/>
      <c r="M126" s="4"/>
      <c r="N126" s="4"/>
      <c r="O126" s="193" t="e">
        <f>IF(O125+1&lt;=MIN('Données projet'!$E$9:$E$18),O125+1,"STOP")</f>
        <v>#VALUE!</v>
      </c>
      <c r="P126" s="184" t="e">
        <f t="shared" si="7"/>
        <v>#VALUE!</v>
      </c>
      <c r="Q126" s="23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">
      <c r="A127" s="179">
        <f>'Données projet'!A125</f>
        <v>80</v>
      </c>
      <c r="B127" s="180">
        <f>'Données projet'!D125</f>
        <v>192</v>
      </c>
      <c r="C127" s="190">
        <f>'Données projet'!E125*50+SUM('Données projet'!F125:G125)*13.8+'Données projet'!H125*10</f>
        <v>42</v>
      </c>
      <c r="D127" s="178">
        <f t="shared" si="8"/>
        <v>8064</v>
      </c>
      <c r="E127" s="192"/>
      <c r="F127" s="231"/>
      <c r="G127" s="205"/>
      <c r="H127" s="189"/>
      <c r="I127" s="190"/>
      <c r="J127" s="4"/>
      <c r="K127" s="172"/>
      <c r="L127" s="4"/>
      <c r="M127" s="4"/>
      <c r="N127" s="4"/>
      <c r="O127" s="193" t="e">
        <f>IF(O126+1&lt;=MIN('Données projet'!$E$9:$E$18),O126+1,"STOP")</f>
        <v>#VALUE!</v>
      </c>
      <c r="P127" s="184" t="e">
        <f t="shared" si="7"/>
        <v>#VALUE!</v>
      </c>
      <c r="Q127" s="23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">
      <c r="A128" s="179">
        <f>'Données projet'!A126</f>
        <v>0</v>
      </c>
      <c r="B128" s="180">
        <f>'Données projet'!D126</f>
        <v>0</v>
      </c>
      <c r="C128" s="190">
        <f>'Données projet'!E126*50+SUM('Données projet'!F126:G126)*13.8+'Données projet'!H126*10</f>
        <v>0</v>
      </c>
      <c r="D128" s="178">
        <f t="shared" si="8"/>
        <v>0</v>
      </c>
      <c r="E128" s="192"/>
      <c r="F128" s="231"/>
      <c r="G128" s="205"/>
      <c r="H128" s="189"/>
      <c r="I128" s="190"/>
      <c r="J128" s="4"/>
      <c r="K128" s="172"/>
      <c r="L128" s="4"/>
      <c r="M128" s="4"/>
      <c r="N128" s="4"/>
      <c r="O128" s="193" t="e">
        <f>IF(O127+1&lt;=MIN('Données projet'!$E$9:$E$18),O127+1,"STOP")</f>
        <v>#VALUE!</v>
      </c>
      <c r="P128" s="184" t="e">
        <f t="shared" si="7"/>
        <v>#VALUE!</v>
      </c>
      <c r="Q128" s="23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">
      <c r="A129" s="179">
        <f>'Données projet'!A127</f>
        <v>0</v>
      </c>
      <c r="B129" s="180">
        <f>'Données projet'!D127</f>
        <v>0</v>
      </c>
      <c r="C129" s="190">
        <f>'Données projet'!E127*50+SUM('Données projet'!F127:G127)*13.8+'Données projet'!H127*10</f>
        <v>0</v>
      </c>
      <c r="D129" s="178">
        <f t="shared" si="8"/>
        <v>0</v>
      </c>
      <c r="E129" s="192"/>
      <c r="F129" s="231"/>
      <c r="G129" s="205"/>
      <c r="H129" s="189"/>
      <c r="I129" s="190"/>
      <c r="J129" s="4"/>
      <c r="K129" s="172"/>
      <c r="L129" s="4"/>
      <c r="M129" s="4"/>
      <c r="N129" s="4"/>
      <c r="O129" s="193" t="e">
        <f>IF(O128+1&lt;=MIN('Données projet'!$E$9:$E$18),O128+1,"STOP")</f>
        <v>#VALUE!</v>
      </c>
      <c r="P129" s="184" t="e">
        <f t="shared" ref="P129:P132" si="9">$P$25/(1+$M$4)^O129</f>
        <v>#VALUE!</v>
      </c>
      <c r="Q129" s="23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">
      <c r="A130" s="179">
        <f>'Données projet'!A128</f>
        <v>0</v>
      </c>
      <c r="B130" s="180">
        <f>'Données projet'!D128</f>
        <v>0</v>
      </c>
      <c r="C130" s="190">
        <f>'Données projet'!E128*50+SUM('Données projet'!F128:G128)*13.8+'Données projet'!H128*10</f>
        <v>0</v>
      </c>
      <c r="D130" s="178">
        <f t="shared" si="8"/>
        <v>0</v>
      </c>
      <c r="E130" s="192"/>
      <c r="F130" s="231"/>
      <c r="G130" s="205"/>
      <c r="H130" s="189"/>
      <c r="I130" s="190"/>
      <c r="J130" s="4"/>
      <c r="K130" s="172"/>
      <c r="L130" s="4"/>
      <c r="M130" s="4"/>
      <c r="N130" s="4"/>
      <c r="O130" s="193" t="e">
        <f>IF(O129+1&lt;=MIN('Données projet'!$E$9:$E$18),O129+1,"STOP")</f>
        <v>#VALUE!</v>
      </c>
      <c r="P130" s="184" t="e">
        <f t="shared" si="9"/>
        <v>#VALUE!</v>
      </c>
      <c r="Q130" s="23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">
      <c r="A131" s="179">
        <f>'Données projet'!A129</f>
        <v>0</v>
      </c>
      <c r="B131" s="180">
        <f>'Données projet'!D129</f>
        <v>0</v>
      </c>
      <c r="C131" s="190">
        <f>'Données projet'!E129*50+SUM('Données projet'!F129:G129)*13.8+'Données projet'!H129*10</f>
        <v>0</v>
      </c>
      <c r="D131" s="178">
        <f t="shared" si="8"/>
        <v>0</v>
      </c>
      <c r="E131" s="192"/>
      <c r="F131" s="231"/>
      <c r="G131" s="205"/>
      <c r="H131" s="189"/>
      <c r="I131" s="190"/>
      <c r="J131" s="4"/>
      <c r="K131" s="172"/>
      <c r="L131" s="4"/>
      <c r="M131" s="4"/>
      <c r="N131" s="4"/>
      <c r="O131" s="193" t="e">
        <f>IF(O130+1&lt;=MIN('Données projet'!$E$9:$E$18),O130+1,"STOP")</f>
        <v>#VALUE!</v>
      </c>
      <c r="P131" s="184" t="e">
        <f t="shared" si="9"/>
        <v>#VALUE!</v>
      </c>
      <c r="Q131" s="23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">
      <c r="A132" s="179">
        <f>'Données projet'!A130</f>
        <v>0</v>
      </c>
      <c r="B132" s="180">
        <f>'Données projet'!D130</f>
        <v>0</v>
      </c>
      <c r="C132" s="190">
        <f>'Données projet'!E130*50+SUM('Données projet'!F130:G130)*13.8+'Données projet'!H130*10</f>
        <v>0</v>
      </c>
      <c r="D132" s="178">
        <f t="shared" si="8"/>
        <v>0</v>
      </c>
      <c r="E132" s="192"/>
      <c r="F132" s="231"/>
      <c r="G132" s="205"/>
      <c r="H132" s="189"/>
      <c r="I132" s="190"/>
      <c r="J132" s="4"/>
      <c r="K132" s="172"/>
      <c r="L132" s="4"/>
      <c r="M132" s="4"/>
      <c r="N132" s="4"/>
      <c r="O132" s="193" t="e">
        <f>IF(O131+1&lt;=MIN('Données projet'!$E$9:$E$18),O131+1,"STOP")</f>
        <v>#VALUE!</v>
      </c>
      <c r="P132" s="184" t="e">
        <f t="shared" si="9"/>
        <v>#VALUE!</v>
      </c>
      <c r="Q132" s="23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">
      <c r="A133" s="179">
        <f>'Données projet'!A131</f>
        <v>0</v>
      </c>
      <c r="B133" s="180">
        <f>'Données projet'!D131</f>
        <v>0</v>
      </c>
      <c r="C133" s="190">
        <f>'Données projet'!E131*50+SUM('Données projet'!F131:G131)*13.8+'Données projet'!H131*10</f>
        <v>0</v>
      </c>
      <c r="D133" s="178">
        <f t="shared" si="8"/>
        <v>0</v>
      </c>
      <c r="E133" s="192"/>
      <c r="F133" s="231"/>
      <c r="G133" s="205"/>
      <c r="H133" s="189"/>
      <c r="I133" s="190"/>
      <c r="J133" s="4"/>
      <c r="K133" s="172"/>
      <c r="Q133" s="23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">
      <c r="A134" s="179">
        <f>'Données projet'!A132</f>
        <v>0</v>
      </c>
      <c r="B134" s="180">
        <f>'Données projet'!D132</f>
        <v>0</v>
      </c>
      <c r="C134" s="190">
        <f>'Données projet'!E132*50+SUM('Données projet'!F132:G132)*13.8+'Données projet'!H132*10</f>
        <v>0</v>
      </c>
      <c r="D134" s="178">
        <f t="shared" si="8"/>
        <v>0</v>
      </c>
      <c r="E134" s="192"/>
      <c r="F134" s="231"/>
      <c r="G134" s="205"/>
      <c r="H134" s="189"/>
      <c r="I134" s="190"/>
      <c r="J134" s="4"/>
      <c r="K134" s="172"/>
      <c r="Q134" s="23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">
      <c r="A135" s="179">
        <f>'Données projet'!A133</f>
        <v>0</v>
      </c>
      <c r="B135" s="180">
        <f>'Données projet'!D133</f>
        <v>0</v>
      </c>
      <c r="C135" s="190">
        <f>'Données projet'!E133*50+SUM('Données projet'!F133:G133)*13.8+'Données projet'!H133*10</f>
        <v>0</v>
      </c>
      <c r="D135" s="178">
        <f t="shared" si="8"/>
        <v>0</v>
      </c>
      <c r="E135" s="192"/>
      <c r="F135" s="231"/>
      <c r="G135" s="205"/>
      <c r="H135" s="189"/>
      <c r="I135" s="190"/>
      <c r="J135" s="4"/>
      <c r="K135" s="172"/>
      <c r="Q135" s="23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">
      <c r="A136" s="4"/>
      <c r="B136" s="4"/>
      <c r="C136" s="4"/>
      <c r="D136" s="4"/>
      <c r="E136" s="4"/>
      <c r="F136" s="229"/>
      <c r="G136" s="205"/>
      <c r="H136" s="189"/>
      <c r="I136" s="190"/>
      <c r="J136" s="4"/>
      <c r="K136" s="172"/>
      <c r="L136" s="4"/>
      <c r="M136" s="4"/>
      <c r="N136" s="4"/>
      <c r="Q136" s="23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">
      <c r="A137" s="4"/>
      <c r="B137" s="4"/>
      <c r="C137" s="4"/>
      <c r="D137" s="4"/>
      <c r="E137" s="4"/>
      <c r="F137" s="229"/>
      <c r="G137" s="205"/>
      <c r="H137" s="189"/>
      <c r="I137" s="190"/>
      <c r="J137" s="4"/>
      <c r="K137" s="172"/>
      <c r="L137" s="4"/>
      <c r="M137" s="4"/>
      <c r="N137" s="4"/>
      <c r="Q137" s="23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">
      <c r="A138" s="46" t="s">
        <v>169</v>
      </c>
      <c r="B138" s="173" t="str">
        <f>IF('Données projet'!B13="","",'Données projet'!B13)</f>
        <v>Cormier</v>
      </c>
      <c r="C138" s="4"/>
      <c r="D138" s="4"/>
      <c r="E138" s="4"/>
      <c r="F138" s="256" t="s">
        <v>326</v>
      </c>
      <c r="G138" s="205"/>
      <c r="H138" s="189"/>
      <c r="I138" s="190"/>
      <c r="J138" s="4"/>
      <c r="K138" s="172"/>
      <c r="L138" s="4"/>
      <c r="M138" s="4"/>
      <c r="N138" s="4"/>
      <c r="Q138" s="23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">
      <c r="A139" s="4"/>
      <c r="B139" s="4"/>
      <c r="C139" s="4"/>
      <c r="D139" s="4"/>
      <c r="E139" s="4"/>
      <c r="F139" s="229"/>
      <c r="G139" s="205"/>
      <c r="H139" s="189"/>
      <c r="I139" s="190"/>
      <c r="J139" s="4"/>
      <c r="K139" s="172"/>
      <c r="L139" s="4"/>
      <c r="M139" s="4"/>
      <c r="N139" s="4"/>
      <c r="Q139" s="23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16" x14ac:dyDescent="0.2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0"/>
      <c r="G140" s="205"/>
      <c r="H140" s="189"/>
      <c r="I140" s="190"/>
      <c r="J140" s="4"/>
      <c r="K140" s="172"/>
      <c r="L140" s="4"/>
      <c r="M140" s="4"/>
      <c r="N140" s="4"/>
      <c r="Q140" s="23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ht="16" x14ac:dyDescent="0.2">
      <c r="A141" s="49">
        <v>0</v>
      </c>
      <c r="B141" s="198" t="s">
        <v>132</v>
      </c>
      <c r="C141" s="197" t="s">
        <v>132</v>
      </c>
      <c r="D141" s="196" t="s">
        <v>132</v>
      </c>
      <c r="E141" s="192">
        <v>2564.81</v>
      </c>
      <c r="F141" s="230"/>
      <c r="G141" s="205"/>
      <c r="H141" s="189"/>
      <c r="I141" s="190"/>
      <c r="J141" s="4"/>
      <c r="K141" s="172"/>
      <c r="L141" s="4"/>
      <c r="M141" s="4"/>
      <c r="N141" s="4"/>
      <c r="Q141" s="23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ht="16" x14ac:dyDescent="0.2">
      <c r="A142" s="49">
        <v>1</v>
      </c>
      <c r="B142" s="198" t="s">
        <v>132</v>
      </c>
      <c r="C142" s="197" t="s">
        <v>132</v>
      </c>
      <c r="D142" s="196" t="s">
        <v>132</v>
      </c>
      <c r="E142" s="192"/>
      <c r="F142" s="230"/>
      <c r="G142" s="23"/>
      <c r="H142" s="189"/>
      <c r="I142" s="190"/>
      <c r="J142" s="4"/>
      <c r="K142" s="172"/>
      <c r="L142" s="4"/>
      <c r="M142" s="4"/>
      <c r="N142" s="4"/>
      <c r="Q142" s="23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ht="16" x14ac:dyDescent="0.2">
      <c r="A143" s="49">
        <v>2</v>
      </c>
      <c r="B143" s="198" t="s">
        <v>132</v>
      </c>
      <c r="C143" s="197" t="s">
        <v>132</v>
      </c>
      <c r="D143" s="196" t="s">
        <v>132</v>
      </c>
      <c r="E143" s="192"/>
      <c r="F143" s="230"/>
      <c r="G143" s="23"/>
      <c r="H143" s="189"/>
      <c r="I143" s="190"/>
      <c r="J143" s="4"/>
      <c r="K143" s="172"/>
      <c r="L143" s="4"/>
      <c r="M143" s="4"/>
      <c r="N143" s="4"/>
      <c r="Q143" s="23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ht="16" x14ac:dyDescent="0.2">
      <c r="A144" s="49">
        <v>3</v>
      </c>
      <c r="B144" s="198" t="s">
        <v>132</v>
      </c>
      <c r="C144" s="197" t="s">
        <v>132</v>
      </c>
      <c r="D144" s="196" t="s">
        <v>132</v>
      </c>
      <c r="E144" s="192"/>
      <c r="F144" s="230"/>
      <c r="G144" s="23"/>
      <c r="H144" s="189"/>
      <c r="I144" s="190"/>
      <c r="J144" s="4"/>
      <c r="K144" s="172"/>
      <c r="L144" s="4"/>
      <c r="M144" s="4"/>
      <c r="N144" s="4"/>
      <c r="Q144" s="23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ht="16" x14ac:dyDescent="0.2">
      <c r="A145" s="49">
        <v>4</v>
      </c>
      <c r="B145" s="198" t="s">
        <v>132</v>
      </c>
      <c r="C145" s="197" t="s">
        <v>132</v>
      </c>
      <c r="D145" s="196" t="s">
        <v>132</v>
      </c>
      <c r="E145" s="192"/>
      <c r="F145" s="230"/>
      <c r="G145" s="23"/>
      <c r="H145" s="189"/>
      <c r="I145" s="190"/>
      <c r="J145" s="4"/>
      <c r="K145" s="172"/>
      <c r="L145" s="4"/>
      <c r="M145" s="4"/>
      <c r="N145" s="4"/>
      <c r="Q145" s="23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">
      <c r="A146" s="49">
        <v>5</v>
      </c>
      <c r="B146" s="198" t="s">
        <v>132</v>
      </c>
      <c r="C146" s="197" t="s">
        <v>132</v>
      </c>
      <c r="D146" s="196" t="s">
        <v>132</v>
      </c>
      <c r="E146" s="192"/>
      <c r="F146" s="230"/>
      <c r="G146" s="204"/>
      <c r="H146" s="189"/>
      <c r="I146" s="190"/>
      <c r="J146" s="4"/>
      <c r="K146" s="172"/>
      <c r="L146" s="4"/>
      <c r="M146" s="4"/>
      <c r="N146" s="4"/>
      <c r="Q146" s="23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">
      <c r="A147" s="42">
        <f>'Données projet'!A140</f>
        <v>25</v>
      </c>
      <c r="B147" s="174">
        <f>'Données projet'!D140</f>
        <v>0</v>
      </c>
      <c r="C147" s="190">
        <f>'Données projet'!E140*50+SUM('Données projet'!F140:G140)*13.8+'Données projet'!H140*10</f>
        <v>10</v>
      </c>
      <c r="D147" s="181">
        <f>B147*C147</f>
        <v>0</v>
      </c>
      <c r="E147" s="192"/>
      <c r="F147" s="232"/>
      <c r="G147" s="204"/>
      <c r="H147" s="189"/>
      <c r="I147" s="190"/>
      <c r="J147" s="4"/>
      <c r="K147" s="172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">
      <c r="A148" s="42">
        <f>'Données projet'!A141</f>
        <v>30</v>
      </c>
      <c r="B148" s="174">
        <f>'Données projet'!D141</f>
        <v>0</v>
      </c>
      <c r="C148" s="190">
        <f>'Données projet'!E141*50+SUM('Données projet'!F141:G141)*13.8+'Données projet'!H141*10</f>
        <v>10</v>
      </c>
      <c r="D148" s="181">
        <f t="shared" ref="D148:D166" si="10">B148*C148</f>
        <v>0</v>
      </c>
      <c r="E148" s="192"/>
      <c r="F148" s="232"/>
      <c r="G148" s="204"/>
      <c r="H148" s="189"/>
      <c r="I148" s="190"/>
      <c r="J148" s="4"/>
      <c r="K148" s="172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">
      <c r="A149" s="42">
        <f>'Données projet'!A142</f>
        <v>35</v>
      </c>
      <c r="B149" s="174">
        <f>'Données projet'!D142</f>
        <v>13</v>
      </c>
      <c r="C149" s="190">
        <f>'Données projet'!E142*50+SUM('Données projet'!F142:G142)*13.8+'Données projet'!H142*10</f>
        <v>10</v>
      </c>
      <c r="D149" s="181">
        <f t="shared" si="10"/>
        <v>130</v>
      </c>
      <c r="E149" s="192"/>
      <c r="F149" s="232"/>
      <c r="G149" s="204"/>
      <c r="H149" s="189"/>
      <c r="I149" s="190"/>
      <c r="J149" s="4"/>
      <c r="K149" s="172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">
      <c r="A150" s="42">
        <f>'Données projet'!A143</f>
        <v>40</v>
      </c>
      <c r="B150" s="174">
        <f>'Données projet'!D143</f>
        <v>14</v>
      </c>
      <c r="C150" s="190">
        <f>'Données projet'!E143*50+SUM('Données projet'!F143:G143)*13.8+'Données projet'!H143*10</f>
        <v>18</v>
      </c>
      <c r="D150" s="181">
        <f t="shared" si="10"/>
        <v>252</v>
      </c>
      <c r="E150" s="192"/>
      <c r="F150" s="232"/>
      <c r="G150" s="204"/>
      <c r="H150" s="189"/>
      <c r="I150" s="190"/>
      <c r="J150" s="4"/>
      <c r="K150" s="172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">
      <c r="A151" s="42">
        <f>'Données projet'!A144</f>
        <v>45</v>
      </c>
      <c r="B151" s="174">
        <f>'Données projet'!D144</f>
        <v>14</v>
      </c>
      <c r="C151" s="190">
        <f>'Données projet'!E144*50+SUM('Données projet'!F144:G144)*13.8+'Données projet'!H144*10</f>
        <v>22</v>
      </c>
      <c r="D151" s="181">
        <f t="shared" si="10"/>
        <v>308</v>
      </c>
      <c r="E151" s="192"/>
      <c r="F151" s="232"/>
      <c r="G151" s="204"/>
      <c r="H151" s="189"/>
      <c r="I151" s="190"/>
      <c r="J151" s="4"/>
      <c r="K151" s="172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">
      <c r="A152" s="42">
        <f>'Données projet'!A145</f>
        <v>50</v>
      </c>
      <c r="B152" s="174">
        <f>'Données projet'!D145</f>
        <v>14</v>
      </c>
      <c r="C152" s="190">
        <f>'Données projet'!E145*50+SUM('Données projet'!F145:G145)*13.8+'Données projet'!H145*10</f>
        <v>26</v>
      </c>
      <c r="D152" s="181">
        <f t="shared" si="10"/>
        <v>364</v>
      </c>
      <c r="E152" s="192"/>
      <c r="F152" s="232"/>
      <c r="G152" s="204"/>
      <c r="H152" s="189"/>
      <c r="I152" s="190"/>
      <c r="J152" s="4"/>
      <c r="K152" s="172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">
      <c r="A153" s="42">
        <f>'Données projet'!A146</f>
        <v>55</v>
      </c>
      <c r="B153" s="174">
        <f>'Données projet'!D146</f>
        <v>14</v>
      </c>
      <c r="C153" s="190">
        <f>'Données projet'!E146*50+SUM('Données projet'!F146:G146)*13.8+'Données projet'!H146*10</f>
        <v>30</v>
      </c>
      <c r="D153" s="181">
        <f t="shared" si="10"/>
        <v>420</v>
      </c>
      <c r="E153" s="192"/>
      <c r="F153" s="232"/>
      <c r="G153" s="202"/>
      <c r="H153" s="189"/>
      <c r="I153" s="190"/>
      <c r="J153" s="4"/>
      <c r="K153" s="172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">
      <c r="A154" s="42">
        <f>'Données projet'!A147</f>
        <v>60</v>
      </c>
      <c r="B154" s="174">
        <f>'Données projet'!D147</f>
        <v>14</v>
      </c>
      <c r="C154" s="190">
        <f>'Données projet'!E147*50+SUM('Données projet'!F147:G147)*13.8+'Données projet'!H147*10</f>
        <v>34</v>
      </c>
      <c r="D154" s="181">
        <f t="shared" si="10"/>
        <v>476</v>
      </c>
      <c r="E154" s="192"/>
      <c r="F154" s="232"/>
      <c r="G154" s="202"/>
      <c r="H154" s="189"/>
      <c r="I154" s="190"/>
      <c r="J154" s="4"/>
      <c r="K154" s="172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">
      <c r="A155" s="42">
        <f>'Données projet'!A148</f>
        <v>65</v>
      </c>
      <c r="B155" s="174">
        <f>'Données projet'!D148</f>
        <v>14</v>
      </c>
      <c r="C155" s="190">
        <f>'Données projet'!E148*50+SUM('Données projet'!F148:G148)*13.8+'Données projet'!H148*10</f>
        <v>34</v>
      </c>
      <c r="D155" s="181">
        <f t="shared" si="10"/>
        <v>476</v>
      </c>
      <c r="E155" s="192"/>
      <c r="F155" s="232"/>
      <c r="G155" s="202"/>
      <c r="H155" s="189"/>
      <c r="I155" s="190"/>
      <c r="J155" s="4"/>
      <c r="K155" s="172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">
      <c r="A156" s="42">
        <f>'Données projet'!A149</f>
        <v>70</v>
      </c>
      <c r="B156" s="174">
        <f>'Données projet'!D149</f>
        <v>14</v>
      </c>
      <c r="C156" s="190">
        <f>'Données projet'!E149*50+SUM('Données projet'!F149:G149)*13.8+'Données projet'!H149*10</f>
        <v>38</v>
      </c>
      <c r="D156" s="181">
        <f t="shared" si="10"/>
        <v>532</v>
      </c>
      <c r="E156" s="192"/>
      <c r="F156" s="232"/>
      <c r="G156" s="202"/>
      <c r="H156" s="189"/>
      <c r="I156" s="190"/>
      <c r="J156" s="4"/>
      <c r="K156" s="172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">
      <c r="A157" s="42">
        <f>'Données projet'!A150</f>
        <v>75</v>
      </c>
      <c r="B157" s="174">
        <f>'Données projet'!D150</f>
        <v>14</v>
      </c>
      <c r="C157" s="190">
        <f>'Données projet'!E150*50+SUM('Données projet'!F150:G150)*13.8+'Données projet'!H150*10</f>
        <v>38</v>
      </c>
      <c r="D157" s="181">
        <f t="shared" si="10"/>
        <v>532</v>
      </c>
      <c r="E157" s="192"/>
      <c r="F157" s="232"/>
      <c r="G157" s="202"/>
      <c r="H157" s="189"/>
      <c r="I157" s="190"/>
      <c r="J157" s="4"/>
      <c r="K157" s="172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">
      <c r="A158" s="42">
        <f>'Données projet'!A151</f>
        <v>80</v>
      </c>
      <c r="B158" s="174">
        <f>'Données projet'!D151</f>
        <v>192</v>
      </c>
      <c r="C158" s="190">
        <f>'Données projet'!E151*50+SUM('Données projet'!F151:G151)*13.8+'Données projet'!H151*10</f>
        <v>42</v>
      </c>
      <c r="D158" s="181">
        <f t="shared" si="10"/>
        <v>8064</v>
      </c>
      <c r="E158" s="192"/>
      <c r="F158" s="232"/>
      <c r="G158" s="202"/>
      <c r="H158" s="189"/>
      <c r="I158" s="190"/>
      <c r="J158" s="4"/>
      <c r="K158" s="172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">
      <c r="A159" s="42">
        <f>'Données projet'!A152</f>
        <v>0</v>
      </c>
      <c r="B159" s="174">
        <f>'Données projet'!D152</f>
        <v>0</v>
      </c>
      <c r="C159" s="190">
        <f>'Données projet'!E152*50+SUM('Données projet'!F152:G152)*13.8+'Données projet'!H152*10</f>
        <v>0</v>
      </c>
      <c r="D159" s="181">
        <f t="shared" si="10"/>
        <v>0</v>
      </c>
      <c r="E159" s="192"/>
      <c r="F159" s="232"/>
      <c r="G159" s="202"/>
      <c r="H159" s="189"/>
      <c r="I159" s="190"/>
      <c r="J159" s="4"/>
      <c r="K159" s="172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">
      <c r="A160" s="42">
        <f>'Données projet'!A153</f>
        <v>0</v>
      </c>
      <c r="B160" s="174">
        <f>'Données projet'!D153</f>
        <v>0</v>
      </c>
      <c r="C160" s="190">
        <f>'Données projet'!E153*50+SUM('Données projet'!F153:G153)*13.8+'Données projet'!H153*10</f>
        <v>0</v>
      </c>
      <c r="D160" s="181">
        <f t="shared" si="10"/>
        <v>0</v>
      </c>
      <c r="E160" s="192"/>
      <c r="F160" s="232"/>
      <c r="G160" s="202"/>
      <c r="H160" s="189"/>
      <c r="I160" s="190"/>
      <c r="J160" s="4"/>
      <c r="K160" s="172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">
      <c r="A161" s="42">
        <f>'Données projet'!A154</f>
        <v>0</v>
      </c>
      <c r="B161" s="174">
        <f>'Données projet'!D154</f>
        <v>0</v>
      </c>
      <c r="C161" s="190">
        <f>'Données projet'!E154*50+SUM('Données projet'!F154:G154)*13.8+'Données projet'!H154*10</f>
        <v>0</v>
      </c>
      <c r="D161" s="181">
        <f t="shared" si="10"/>
        <v>0</v>
      </c>
      <c r="E161" s="192"/>
      <c r="F161" s="232"/>
      <c r="G161" s="202"/>
      <c r="H161" s="189"/>
      <c r="I161" s="190"/>
      <c r="J161" s="4"/>
      <c r="K161" s="172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">
      <c r="A162" s="42">
        <f>'Données projet'!A155</f>
        <v>0</v>
      </c>
      <c r="B162" s="174">
        <f>'Données projet'!D155</f>
        <v>0</v>
      </c>
      <c r="C162" s="190">
        <f>'Données projet'!E155*50+SUM('Données projet'!F155:G155)*13.8+'Données projet'!H155*10</f>
        <v>0</v>
      </c>
      <c r="D162" s="181">
        <f t="shared" si="10"/>
        <v>0</v>
      </c>
      <c r="E162" s="192"/>
      <c r="F162" s="232"/>
      <c r="G162" s="202"/>
      <c r="H162" s="189"/>
      <c r="I162" s="190"/>
      <c r="J162" s="4"/>
      <c r="K162" s="172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">
      <c r="A163" s="42">
        <f>'Données projet'!A156</f>
        <v>0</v>
      </c>
      <c r="B163" s="174">
        <f>'Données projet'!D156</f>
        <v>0</v>
      </c>
      <c r="C163" s="190">
        <f>'Données projet'!E156*50+SUM('Données projet'!F156:G156)*13.8+'Données projet'!H156*10</f>
        <v>0</v>
      </c>
      <c r="D163" s="181">
        <f t="shared" si="10"/>
        <v>0</v>
      </c>
      <c r="E163" s="192"/>
      <c r="F163" s="232"/>
      <c r="G163" s="202"/>
      <c r="H163" s="189"/>
      <c r="I163" s="190"/>
      <c r="J163" s="4"/>
      <c r="K163" s="172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">
      <c r="A164" s="42">
        <f>'Données projet'!A157</f>
        <v>0</v>
      </c>
      <c r="B164" s="174">
        <f>'Données projet'!D157</f>
        <v>0</v>
      </c>
      <c r="C164" s="190">
        <f>'Données projet'!E157*50+SUM('Données projet'!F157:G157)*13.8+'Données projet'!H157*10</f>
        <v>0</v>
      </c>
      <c r="D164" s="181">
        <f t="shared" si="10"/>
        <v>0</v>
      </c>
      <c r="E164" s="192"/>
      <c r="F164" s="232"/>
      <c r="G164" s="202"/>
      <c r="H164" s="189"/>
      <c r="I164" s="190"/>
      <c r="J164" s="4"/>
      <c r="K164" s="172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">
      <c r="A165" s="42">
        <f>'Données projet'!A158</f>
        <v>0</v>
      </c>
      <c r="B165" s="174">
        <f>'Données projet'!D158</f>
        <v>0</v>
      </c>
      <c r="C165" s="190">
        <f>'Données projet'!E158*50+SUM('Données projet'!F158:G158)*13.8+'Données projet'!H158*10</f>
        <v>0</v>
      </c>
      <c r="D165" s="181">
        <f t="shared" si="10"/>
        <v>0</v>
      </c>
      <c r="E165" s="192"/>
      <c r="F165" s="232"/>
      <c r="G165" s="202"/>
      <c r="H165" s="189"/>
      <c r="I165" s="190"/>
      <c r="J165" s="4"/>
      <c r="K165" s="172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">
      <c r="A166" s="42">
        <f>'Données projet'!A159</f>
        <v>0</v>
      </c>
      <c r="B166" s="174">
        <f>'Données projet'!D159</f>
        <v>0</v>
      </c>
      <c r="C166" s="190">
        <f>'Données projet'!E159*50+SUM('Données projet'!F159:G159)*13.8+'Données projet'!H159*10</f>
        <v>0</v>
      </c>
      <c r="D166" s="181">
        <f t="shared" si="10"/>
        <v>0</v>
      </c>
      <c r="E166" s="192"/>
      <c r="F166" s="232"/>
      <c r="G166" s="202"/>
      <c r="H166" s="189"/>
      <c r="I166" s="190"/>
      <c r="J166" s="4"/>
      <c r="K166" s="172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">
      <c r="A167" s="4"/>
      <c r="B167" s="4"/>
      <c r="C167" s="4"/>
      <c r="D167" s="4"/>
      <c r="E167" s="4"/>
      <c r="F167" s="229"/>
      <c r="G167" s="202"/>
      <c r="H167" s="189"/>
      <c r="I167" s="190"/>
      <c r="J167" s="4"/>
      <c r="K167" s="172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">
      <c r="A168" s="4"/>
      <c r="B168" s="4"/>
      <c r="C168" s="4"/>
      <c r="D168" s="4"/>
      <c r="E168" s="4"/>
      <c r="F168" s="229"/>
      <c r="G168" s="202"/>
      <c r="H168" s="189"/>
      <c r="I168" s="190"/>
      <c r="J168" s="4"/>
      <c r="K168" s="172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">
      <c r="A169" s="46" t="s">
        <v>170</v>
      </c>
      <c r="B169" s="173" t="str">
        <f>IF('Données projet'!B14="","",'Données projet'!B14)</f>
        <v>Pin laricio</v>
      </c>
      <c r="C169" s="4"/>
      <c r="D169" s="4"/>
      <c r="E169" s="4"/>
      <c r="F169" s="229"/>
      <c r="G169" s="202"/>
      <c r="H169" s="189"/>
      <c r="I169" s="190"/>
      <c r="J169" s="4"/>
      <c r="K169" s="172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">
      <c r="A170" s="4"/>
      <c r="B170" s="4"/>
      <c r="C170" s="4"/>
      <c r="D170" s="4"/>
      <c r="E170" s="4"/>
      <c r="F170" s="229"/>
      <c r="G170" s="202"/>
      <c r="H170" s="189"/>
      <c r="I170" s="190"/>
      <c r="J170" s="4"/>
      <c r="K170" s="172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16" x14ac:dyDescent="0.2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0"/>
      <c r="G171" s="202"/>
      <c r="H171" s="189"/>
      <c r="I171" s="190"/>
      <c r="J171" s="4"/>
      <c r="K171" s="172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ht="16" x14ac:dyDescent="0.2">
      <c r="A172" s="49">
        <v>0</v>
      </c>
      <c r="B172" s="198" t="s">
        <v>132</v>
      </c>
      <c r="C172" s="197" t="s">
        <v>132</v>
      </c>
      <c r="D172" s="196" t="s">
        <v>132</v>
      </c>
      <c r="E172" s="192">
        <v>2767.48</v>
      </c>
      <c r="F172" s="230"/>
      <c r="G172" s="202"/>
      <c r="H172" s="189"/>
      <c r="I172" s="190"/>
      <c r="J172" s="4"/>
      <c r="K172" s="172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ht="16" x14ac:dyDescent="0.2">
      <c r="A173" s="49">
        <v>1</v>
      </c>
      <c r="B173" s="198" t="s">
        <v>132</v>
      </c>
      <c r="C173" s="197" t="s">
        <v>132</v>
      </c>
      <c r="D173" s="196" t="s">
        <v>132</v>
      </c>
      <c r="E173" s="192"/>
      <c r="F173" s="230"/>
      <c r="G173" s="23"/>
      <c r="H173" s="189"/>
      <c r="I173" s="190"/>
      <c r="J173" s="4"/>
      <c r="K173" s="172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ht="16" x14ac:dyDescent="0.2">
      <c r="A174" s="49">
        <v>2</v>
      </c>
      <c r="B174" s="198" t="s">
        <v>132</v>
      </c>
      <c r="C174" s="197" t="s">
        <v>132</v>
      </c>
      <c r="D174" s="196" t="s">
        <v>132</v>
      </c>
      <c r="E174" s="192"/>
      <c r="F174" s="230"/>
      <c r="G174" s="23"/>
      <c r="H174" s="189"/>
      <c r="I174" s="190"/>
      <c r="J174" s="4"/>
      <c r="K174" s="172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ht="16" x14ac:dyDescent="0.2">
      <c r="A175" s="49">
        <v>3</v>
      </c>
      <c r="B175" s="198" t="s">
        <v>132</v>
      </c>
      <c r="C175" s="197" t="s">
        <v>132</v>
      </c>
      <c r="D175" s="196" t="s">
        <v>132</v>
      </c>
      <c r="E175" s="192"/>
      <c r="F175" s="230"/>
      <c r="G175" s="23"/>
      <c r="H175" s="189"/>
      <c r="I175" s="190"/>
      <c r="J175" s="4"/>
      <c r="K175" s="172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ht="16" x14ac:dyDescent="0.2">
      <c r="A176" s="49">
        <v>4</v>
      </c>
      <c r="B176" s="198" t="s">
        <v>132</v>
      </c>
      <c r="C176" s="197" t="s">
        <v>132</v>
      </c>
      <c r="D176" s="196" t="s">
        <v>132</v>
      </c>
      <c r="E176" s="192"/>
      <c r="F176" s="230"/>
      <c r="G176" s="23"/>
      <c r="H176" s="189"/>
      <c r="I176" s="190"/>
      <c r="J176" s="4"/>
      <c r="K176" s="172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">
      <c r="A177" s="49">
        <v>5</v>
      </c>
      <c r="B177" s="198" t="s">
        <v>132</v>
      </c>
      <c r="C177" s="197" t="s">
        <v>132</v>
      </c>
      <c r="D177" s="196" t="s">
        <v>132</v>
      </c>
      <c r="E177" s="192"/>
      <c r="F177" s="230"/>
      <c r="G177" s="204"/>
      <c r="H177" s="189"/>
      <c r="I177" s="190"/>
      <c r="J177" s="4"/>
      <c r="K177" s="172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">
      <c r="A178" s="179">
        <f>'Données projet'!A166</f>
        <v>15</v>
      </c>
      <c r="B178" s="180">
        <f>'Données projet'!D166</f>
        <v>0</v>
      </c>
      <c r="C178" s="192">
        <f>'Données projet'!E166*30+SUM('Données projet'!F166:G166)*19.4+'Données projet'!H166*10</f>
        <v>21.52</v>
      </c>
      <c r="D178" s="178">
        <f>B178*C178</f>
        <v>0</v>
      </c>
      <c r="E178" s="192"/>
      <c r="F178" s="231"/>
      <c r="G178" s="204"/>
      <c r="H178" s="189"/>
      <c r="I178" s="190"/>
      <c r="J178" s="4"/>
      <c r="K178" s="172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">
      <c r="A179" s="179">
        <f>'Données projet'!A167</f>
        <v>20</v>
      </c>
      <c r="B179" s="180">
        <f>'Données projet'!D167</f>
        <v>23</v>
      </c>
      <c r="C179" s="192">
        <f>'Données projet'!E167*30+SUM('Données projet'!F167:G167)*19.4+'Données projet'!H167*10</f>
        <v>21.52</v>
      </c>
      <c r="D179" s="178">
        <f t="shared" ref="D179:D197" si="11">B179*C179</f>
        <v>494.96</v>
      </c>
      <c r="E179" s="192"/>
      <c r="F179" s="231"/>
      <c r="G179" s="204"/>
      <c r="H179" s="189"/>
      <c r="I179" s="190"/>
      <c r="J179" s="4"/>
      <c r="K179" s="172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">
      <c r="A180" s="179">
        <f>'Données projet'!A168</f>
        <v>25</v>
      </c>
      <c r="B180" s="180">
        <f>'Données projet'!D168</f>
        <v>42</v>
      </c>
      <c r="C180" s="192">
        <f>'Données projet'!E168*30+SUM('Données projet'!F168:G168)*19.4+'Données projet'!H168*10</f>
        <v>22.58</v>
      </c>
      <c r="D180" s="178">
        <f t="shared" si="11"/>
        <v>948.3599999999999</v>
      </c>
      <c r="E180" s="192"/>
      <c r="F180" s="231"/>
      <c r="G180" s="204"/>
      <c r="H180" s="189"/>
      <c r="I180" s="190"/>
      <c r="J180" s="4"/>
      <c r="K180" s="172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">
      <c r="A181" s="179">
        <f>'Données projet'!A169</f>
        <v>30</v>
      </c>
      <c r="B181" s="180">
        <f>'Données projet'!D169</f>
        <v>42</v>
      </c>
      <c r="C181" s="192">
        <f>'Données projet'!E169*30+SUM('Données projet'!F169:G169)*19.4+'Données projet'!H169*10</f>
        <v>23.64</v>
      </c>
      <c r="D181" s="178">
        <f t="shared" si="11"/>
        <v>992.88</v>
      </c>
      <c r="E181" s="192"/>
      <c r="F181" s="231"/>
      <c r="G181" s="204"/>
      <c r="H181" s="189"/>
      <c r="I181" s="190"/>
      <c r="J181" s="4"/>
      <c r="K181" s="172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">
      <c r="A182" s="179">
        <f>'Données projet'!A170</f>
        <v>35</v>
      </c>
      <c r="B182" s="180">
        <f>'Données projet'!D170</f>
        <v>42</v>
      </c>
      <c r="C182" s="192">
        <f>'Données projet'!E170*30+SUM('Données projet'!F170:G170)*19.4+'Données projet'!H170*10</f>
        <v>23.64</v>
      </c>
      <c r="D182" s="178">
        <f t="shared" si="11"/>
        <v>992.88</v>
      </c>
      <c r="E182" s="192"/>
      <c r="F182" s="231"/>
      <c r="G182" s="204"/>
      <c r="H182" s="189"/>
      <c r="I182" s="190"/>
      <c r="J182" s="4"/>
      <c r="K182" s="172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">
      <c r="A183" s="179">
        <f>'Données projet'!A171</f>
        <v>40</v>
      </c>
      <c r="B183" s="180">
        <f>'Données projet'!D171</f>
        <v>42</v>
      </c>
      <c r="C183" s="192">
        <f>'Données projet'!E171*30+SUM('Données projet'!F171:G171)*19.4+'Données projet'!H171*10</f>
        <v>24.7</v>
      </c>
      <c r="D183" s="178">
        <f t="shared" si="11"/>
        <v>1037.3999999999999</v>
      </c>
      <c r="E183" s="192"/>
      <c r="F183" s="231"/>
      <c r="G183" s="204"/>
      <c r="H183" s="189"/>
      <c r="I183" s="190"/>
      <c r="J183" s="4"/>
      <c r="K183" s="172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">
      <c r="A184" s="179">
        <f>'Données projet'!A172</f>
        <v>45</v>
      </c>
      <c r="B184" s="180">
        <f>'Données projet'!D172</f>
        <v>42</v>
      </c>
      <c r="C184" s="192">
        <f>'Données projet'!E172*30+SUM('Données projet'!F172:G172)*19.4+'Données projet'!H172*10</f>
        <v>24.7</v>
      </c>
      <c r="D184" s="178">
        <f t="shared" si="11"/>
        <v>1037.3999999999999</v>
      </c>
      <c r="E184" s="192"/>
      <c r="F184" s="231"/>
      <c r="G184" s="205"/>
      <c r="H184" s="189"/>
      <c r="I184" s="190"/>
      <c r="J184" s="4"/>
      <c r="K184" s="172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">
      <c r="A185" s="179">
        <f>'Données projet'!A173</f>
        <v>50</v>
      </c>
      <c r="B185" s="180">
        <f>'Données projet'!D173</f>
        <v>40</v>
      </c>
      <c r="C185" s="192">
        <f>'Données projet'!E173*30+SUM('Données projet'!F173:G173)*19.4+'Données projet'!H173*10</f>
        <v>25.759999999999998</v>
      </c>
      <c r="D185" s="178">
        <f t="shared" si="11"/>
        <v>1030.3999999999999</v>
      </c>
      <c r="E185" s="192"/>
      <c r="F185" s="231"/>
      <c r="G185" s="205"/>
      <c r="H185" s="189"/>
      <c r="I185" s="190"/>
      <c r="J185" s="4"/>
      <c r="K185" s="172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">
      <c r="A186" s="179">
        <f>'Données projet'!A174</f>
        <v>55</v>
      </c>
      <c r="B186" s="180">
        <f>'Données projet'!D174</f>
        <v>34</v>
      </c>
      <c r="C186" s="192">
        <f>'Données projet'!E174*30+SUM('Données projet'!F174:G174)*19.4+'Données projet'!H174*10</f>
        <v>25.759999999999998</v>
      </c>
      <c r="D186" s="178">
        <f t="shared" si="11"/>
        <v>875.83999999999992</v>
      </c>
      <c r="E186" s="192"/>
      <c r="F186" s="231"/>
      <c r="G186" s="205"/>
      <c r="H186" s="189"/>
      <c r="I186" s="190"/>
      <c r="J186" s="4"/>
      <c r="K186" s="172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">
      <c r="A187" s="179">
        <f>'Données projet'!A175</f>
        <v>60</v>
      </c>
      <c r="B187" s="180">
        <f>'Données projet'!D175</f>
        <v>30</v>
      </c>
      <c r="C187" s="192">
        <f>'Données projet'!E175*30+SUM('Données projet'!F175:G175)*19.4+'Données projet'!H175*10</f>
        <v>26.82</v>
      </c>
      <c r="D187" s="178">
        <f t="shared" si="11"/>
        <v>804.6</v>
      </c>
      <c r="E187" s="192"/>
      <c r="F187" s="231"/>
      <c r="G187" s="205"/>
      <c r="H187" s="189"/>
      <c r="I187" s="190"/>
      <c r="J187" s="4"/>
      <c r="K187" s="172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">
      <c r="A188" s="179">
        <f>'Données projet'!A176</f>
        <v>65</v>
      </c>
      <c r="B188" s="180">
        <f>'Données projet'!D176</f>
        <v>26</v>
      </c>
      <c r="C188" s="192">
        <f>'Données projet'!E176*30+SUM('Données projet'!F176:G176)*19.4+'Données projet'!H176*10</f>
        <v>27.88</v>
      </c>
      <c r="D188" s="178">
        <f t="shared" si="11"/>
        <v>724.88</v>
      </c>
      <c r="E188" s="192"/>
      <c r="F188" s="231"/>
      <c r="G188" s="205"/>
      <c r="H188" s="189"/>
      <c r="I188" s="190"/>
      <c r="J188" s="4"/>
      <c r="K188" s="172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">
      <c r="A189" s="179">
        <f>'Données projet'!A177</f>
        <v>70</v>
      </c>
      <c r="B189" s="180">
        <f>'Données projet'!D177</f>
        <v>24</v>
      </c>
      <c r="C189" s="192">
        <f>'Données projet'!E177*30+SUM('Données projet'!F177:G177)*19.4+'Données projet'!H177*10</f>
        <v>27.88</v>
      </c>
      <c r="D189" s="178">
        <f t="shared" si="11"/>
        <v>669.12</v>
      </c>
      <c r="E189" s="192"/>
      <c r="F189" s="231"/>
      <c r="G189" s="205"/>
      <c r="H189" s="189"/>
      <c r="I189" s="190"/>
      <c r="J189" s="4"/>
      <c r="K189" s="172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">
      <c r="A190" s="179">
        <f>'Données projet'!A178</f>
        <v>0</v>
      </c>
      <c r="B190" s="180">
        <f>'Données projet'!D178</f>
        <v>0</v>
      </c>
      <c r="C190" s="192">
        <f>'Données projet'!E178*30+SUM('Données projet'!F178:G178)*19.4+'Données projet'!H178*10</f>
        <v>0</v>
      </c>
      <c r="D190" s="178">
        <f t="shared" si="11"/>
        <v>0</v>
      </c>
      <c r="E190" s="192"/>
      <c r="F190" s="231"/>
      <c r="G190" s="205"/>
      <c r="H190" s="189"/>
      <c r="I190" s="190"/>
      <c r="J190" s="4"/>
      <c r="K190" s="172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">
      <c r="A191" s="179">
        <f>'Données projet'!A179</f>
        <v>0</v>
      </c>
      <c r="B191" s="180">
        <f>'Données projet'!D179</f>
        <v>0</v>
      </c>
      <c r="C191" s="192">
        <f>'Données projet'!E179*30+SUM('Données projet'!F179:G179)*19.4+'Données projet'!H179*10</f>
        <v>0</v>
      </c>
      <c r="D191" s="178">
        <f t="shared" si="11"/>
        <v>0</v>
      </c>
      <c r="E191" s="192"/>
      <c r="F191" s="231"/>
      <c r="G191" s="205"/>
      <c r="H191" s="189"/>
      <c r="I191" s="190"/>
      <c r="J191" s="4"/>
      <c r="K191" s="172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">
      <c r="A192" s="179">
        <f>'Données projet'!A180</f>
        <v>0</v>
      </c>
      <c r="B192" s="180">
        <f>'Données projet'!D180</f>
        <v>0</v>
      </c>
      <c r="C192" s="192">
        <f>'Données projet'!E180*30+SUM('Données projet'!F180:G180)*19.4+'Données projet'!H180*10</f>
        <v>0</v>
      </c>
      <c r="D192" s="178">
        <f t="shared" si="11"/>
        <v>0</v>
      </c>
      <c r="E192" s="192"/>
      <c r="F192" s="231"/>
      <c r="G192" s="205"/>
      <c r="H192" s="189"/>
      <c r="I192" s="190"/>
      <c r="J192" s="4"/>
      <c r="K192" s="172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">
      <c r="A193" s="179">
        <f>'Données projet'!A181</f>
        <v>0</v>
      </c>
      <c r="B193" s="180">
        <f>'Données projet'!D181</f>
        <v>0</v>
      </c>
      <c r="C193" s="192">
        <f>'Données projet'!E181*30+SUM('Données projet'!F181:G181)*19.4+'Données projet'!H181*10</f>
        <v>0</v>
      </c>
      <c r="D193" s="178">
        <f t="shared" si="11"/>
        <v>0</v>
      </c>
      <c r="E193" s="192"/>
      <c r="F193" s="231"/>
      <c r="G193" s="205"/>
      <c r="H193" s="189"/>
      <c r="I193" s="190"/>
      <c r="J193" s="4"/>
      <c r="K193" s="172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">
      <c r="A194" s="179">
        <f>'Données projet'!A182</f>
        <v>0</v>
      </c>
      <c r="B194" s="180">
        <f>'Données projet'!D182</f>
        <v>0</v>
      </c>
      <c r="C194" s="192">
        <f>'Données projet'!E182*30+SUM('Données projet'!F182:G182)*19.4+'Données projet'!H182*10</f>
        <v>0</v>
      </c>
      <c r="D194" s="178">
        <f t="shared" si="11"/>
        <v>0</v>
      </c>
      <c r="E194" s="192"/>
      <c r="F194" s="231"/>
      <c r="G194" s="205"/>
      <c r="H194" s="189"/>
      <c r="I194" s="190"/>
      <c r="J194" s="4"/>
      <c r="K194" s="172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">
      <c r="A195" s="179">
        <f>'Données projet'!A183</f>
        <v>0</v>
      </c>
      <c r="B195" s="180">
        <f>'Données projet'!D183</f>
        <v>0</v>
      </c>
      <c r="C195" s="192">
        <f>'Données projet'!E183*30+SUM('Données projet'!F183:G183)*19.4+'Données projet'!H183*10</f>
        <v>0</v>
      </c>
      <c r="D195" s="178">
        <f t="shared" si="11"/>
        <v>0</v>
      </c>
      <c r="E195" s="192"/>
      <c r="F195" s="231"/>
      <c r="G195" s="205"/>
      <c r="H195" s="189"/>
      <c r="I195" s="190"/>
      <c r="J195" s="4"/>
      <c r="K195" s="172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">
      <c r="A196" s="179">
        <f>'Données projet'!A184</f>
        <v>0</v>
      </c>
      <c r="B196" s="180">
        <f>'Données projet'!D184</f>
        <v>0</v>
      </c>
      <c r="C196" s="192">
        <f>'Données projet'!E184*30+SUM('Données projet'!F184:G184)*19.4+'Données projet'!H184*10</f>
        <v>0</v>
      </c>
      <c r="D196" s="178">
        <f t="shared" si="11"/>
        <v>0</v>
      </c>
      <c r="E196" s="192"/>
      <c r="F196" s="231"/>
      <c r="G196" s="205"/>
      <c r="H196" s="189"/>
      <c r="I196" s="190"/>
      <c r="J196" s="4"/>
      <c r="K196" s="172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">
      <c r="A197" s="179">
        <f>'Données projet'!A185</f>
        <v>0</v>
      </c>
      <c r="B197" s="180">
        <f>'Données projet'!D185</f>
        <v>0</v>
      </c>
      <c r="C197" s="192">
        <f>'Données projet'!E185*30+SUM('Données projet'!F185:G185)*19.4+'Données projet'!H185*10</f>
        <v>0</v>
      </c>
      <c r="D197" s="178">
        <f t="shared" si="11"/>
        <v>0</v>
      </c>
      <c r="E197" s="192"/>
      <c r="F197" s="231"/>
      <c r="G197" s="205"/>
      <c r="H197" s="189"/>
      <c r="I197" s="190"/>
      <c r="J197" s="4"/>
      <c r="K197" s="172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">
      <c r="A198" s="4"/>
      <c r="B198" s="4"/>
      <c r="C198" s="4"/>
      <c r="D198" s="4"/>
      <c r="E198" s="4"/>
      <c r="F198" s="229"/>
      <c r="G198" s="205"/>
      <c r="H198" s="189"/>
      <c r="I198" s="190"/>
      <c r="J198" s="4"/>
      <c r="K198" s="172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">
      <c r="A199" s="4"/>
      <c r="B199" s="4"/>
      <c r="C199" s="4"/>
      <c r="D199" s="4"/>
      <c r="E199" s="4"/>
      <c r="F199" s="229"/>
      <c r="G199" s="205"/>
      <c r="H199" s="189"/>
      <c r="I199" s="190"/>
      <c r="J199" s="4"/>
      <c r="K199" s="172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">
      <c r="A200" s="46" t="s">
        <v>171</v>
      </c>
      <c r="B200" s="173" t="str">
        <f>IF('Données projet'!$B$15="","",'Données projet'!$B$15)</f>
        <v>Douglas</v>
      </c>
      <c r="C200" s="4"/>
      <c r="D200" s="4"/>
      <c r="E200" s="4"/>
      <c r="F200" s="229"/>
      <c r="G200" s="205"/>
      <c r="H200" s="189"/>
      <c r="I200" s="190"/>
      <c r="J200" s="4"/>
      <c r="K200" s="172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">
      <c r="A201" s="46"/>
      <c r="B201" s="4"/>
      <c r="C201" s="4"/>
      <c r="D201" s="4"/>
      <c r="E201" s="4"/>
      <c r="F201" s="229"/>
      <c r="G201" s="205"/>
      <c r="H201" s="189"/>
      <c r="I201" s="190"/>
      <c r="J201" s="4"/>
      <c r="K201" s="172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ht="16" x14ac:dyDescent="0.2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0"/>
      <c r="G202" s="205"/>
      <c r="H202" s="189"/>
      <c r="I202" s="190"/>
      <c r="J202" s="4"/>
      <c r="K202" s="172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ht="16" x14ac:dyDescent="0.2">
      <c r="A203" s="49">
        <v>0</v>
      </c>
      <c r="B203" s="198" t="s">
        <v>132</v>
      </c>
      <c r="C203" s="197" t="s">
        <v>132</v>
      </c>
      <c r="D203" s="196" t="s">
        <v>132</v>
      </c>
      <c r="E203" s="192">
        <v>2523.6</v>
      </c>
      <c r="F203" s="230"/>
      <c r="G203" s="205"/>
      <c r="H203" s="189"/>
      <c r="I203" s="190"/>
      <c r="J203" s="4"/>
      <c r="K203" s="172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ht="16" x14ac:dyDescent="0.2">
      <c r="A204" s="49">
        <v>1</v>
      </c>
      <c r="B204" s="198" t="s">
        <v>132</v>
      </c>
      <c r="C204" s="197" t="s">
        <v>132</v>
      </c>
      <c r="D204" s="196" t="s">
        <v>132</v>
      </c>
      <c r="E204" s="192"/>
      <c r="F204" s="230"/>
      <c r="G204" s="23"/>
      <c r="H204" s="189"/>
      <c r="I204" s="190"/>
      <c r="J204" s="4"/>
      <c r="K204" s="172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ht="16" x14ac:dyDescent="0.2">
      <c r="A205" s="49">
        <v>2</v>
      </c>
      <c r="B205" s="198" t="s">
        <v>132</v>
      </c>
      <c r="C205" s="197" t="s">
        <v>132</v>
      </c>
      <c r="D205" s="196" t="s">
        <v>132</v>
      </c>
      <c r="E205" s="192"/>
      <c r="F205" s="230"/>
      <c r="G205" s="23"/>
      <c r="H205" s="189"/>
      <c r="I205" s="190"/>
      <c r="J205" s="4"/>
      <c r="K205" s="172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ht="16" x14ac:dyDescent="0.2">
      <c r="A206" s="49">
        <v>3</v>
      </c>
      <c r="B206" s="198" t="s">
        <v>132</v>
      </c>
      <c r="C206" s="197" t="s">
        <v>132</v>
      </c>
      <c r="D206" s="196" t="s">
        <v>132</v>
      </c>
      <c r="E206" s="192"/>
      <c r="F206" s="230"/>
      <c r="G206" s="23"/>
      <c r="H206" s="189"/>
      <c r="I206" s="190"/>
      <c r="J206" s="4"/>
      <c r="K206" s="172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ht="16" x14ac:dyDescent="0.2">
      <c r="A207" s="49">
        <v>4</v>
      </c>
      <c r="B207" s="198" t="s">
        <v>132</v>
      </c>
      <c r="C207" s="197" t="s">
        <v>132</v>
      </c>
      <c r="D207" s="196" t="s">
        <v>132</v>
      </c>
      <c r="E207" s="192"/>
      <c r="F207" s="230"/>
      <c r="G207" s="23"/>
      <c r="H207" s="189"/>
      <c r="I207" s="190"/>
      <c r="J207" s="4"/>
      <c r="K207" s="172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ht="16" x14ac:dyDescent="0.2">
      <c r="A208" s="49">
        <v>5</v>
      </c>
      <c r="B208" s="198" t="s">
        <v>132</v>
      </c>
      <c r="C208" s="197" t="s">
        <v>132</v>
      </c>
      <c r="D208" s="196" t="s">
        <v>132</v>
      </c>
      <c r="E208" s="192"/>
      <c r="F208" s="230"/>
      <c r="G208" s="204"/>
      <c r="H208" s="189"/>
      <c r="I208" s="190"/>
      <c r="J208" s="4"/>
      <c r="K208" s="172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">
      <c r="A209" s="179">
        <f>'Données projet'!A192</f>
        <v>10</v>
      </c>
      <c r="B209" s="180">
        <f>'Données projet'!D192</f>
        <v>0</v>
      </c>
      <c r="C209" s="192">
        <f>'Données projet'!E192*65+SUM('Données projet'!F192:G192)*19.4+'Données projet'!H192*10</f>
        <v>33.08</v>
      </c>
      <c r="D209" s="178">
        <f>B209*C209</f>
        <v>0</v>
      </c>
      <c r="E209" s="192"/>
      <c r="F209" s="231"/>
      <c r="G209" s="204"/>
      <c r="H209" s="189"/>
      <c r="I209" s="190"/>
      <c r="J209" s="4"/>
      <c r="K209" s="172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">
      <c r="A210" s="179">
        <f>'Données projet'!A193</f>
        <v>15</v>
      </c>
      <c r="B210" s="180">
        <f>'Données projet'!D193</f>
        <v>60</v>
      </c>
      <c r="C210" s="192">
        <f>'Données projet'!E193*65+SUM('Données projet'!F193:G193)*19.4+'Données projet'!H193*10</f>
        <v>37.64</v>
      </c>
      <c r="D210" s="178">
        <f t="shared" ref="D210:D228" si="12">B210*C210</f>
        <v>2258.4</v>
      </c>
      <c r="E210" s="192"/>
      <c r="F210" s="231"/>
      <c r="G210" s="204"/>
      <c r="H210" s="189"/>
      <c r="I210" s="190"/>
      <c r="J210" s="4"/>
      <c r="K210" s="172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">
      <c r="A211" s="179">
        <f>'Données projet'!A194</f>
        <v>20</v>
      </c>
      <c r="B211" s="180">
        <f>'Données projet'!D194</f>
        <v>84</v>
      </c>
      <c r="C211" s="192">
        <f>'Données projet'!E194*65+SUM('Données projet'!F194:G194)*19.4+'Données projet'!H194*10</f>
        <v>37.64</v>
      </c>
      <c r="D211" s="178">
        <f t="shared" si="12"/>
        <v>3161.76</v>
      </c>
      <c r="E211" s="192"/>
      <c r="F211" s="231"/>
      <c r="G211" s="204"/>
      <c r="H211" s="189"/>
      <c r="I211" s="190"/>
      <c r="J211" s="4"/>
      <c r="K211" s="172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">
      <c r="A212" s="179">
        <f>'Données projet'!A195</f>
        <v>25</v>
      </c>
      <c r="B212" s="180">
        <f>'Données projet'!D195</f>
        <v>84</v>
      </c>
      <c r="C212" s="192">
        <f>'Données projet'!E195*65+SUM('Données projet'!F195:G195)*19.4+'Données projet'!H195*10</f>
        <v>42.2</v>
      </c>
      <c r="D212" s="178">
        <f t="shared" si="12"/>
        <v>3544.8</v>
      </c>
      <c r="E212" s="192"/>
      <c r="F212" s="231"/>
      <c r="G212" s="204"/>
      <c r="H212" s="189"/>
      <c r="I212" s="190"/>
      <c r="J212" s="4"/>
      <c r="K212" s="172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">
      <c r="A213" s="179">
        <f>'Données projet'!A196</f>
        <v>30</v>
      </c>
      <c r="B213" s="180">
        <f>'Données projet'!D196</f>
        <v>84</v>
      </c>
      <c r="C213" s="192">
        <f>'Données projet'!E196*65+SUM('Données projet'!F196:G196)*19.4+'Données projet'!H196*10</f>
        <v>42.2</v>
      </c>
      <c r="D213" s="178">
        <f t="shared" si="12"/>
        <v>3544.8</v>
      </c>
      <c r="E213" s="192"/>
      <c r="F213" s="231"/>
      <c r="G213" s="204"/>
      <c r="H213" s="189"/>
      <c r="I213" s="190"/>
      <c r="J213" s="4"/>
      <c r="K213" s="172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">
      <c r="A214" s="179">
        <f>'Données projet'!A197</f>
        <v>35</v>
      </c>
      <c r="B214" s="180">
        <f>'Données projet'!D197</f>
        <v>84</v>
      </c>
      <c r="C214" s="192">
        <f>'Données projet'!E197*65+SUM('Données projet'!F197:G197)*19.4+'Données projet'!H197*10</f>
        <v>46.76</v>
      </c>
      <c r="D214" s="178">
        <f t="shared" si="12"/>
        <v>3927.8399999999997</v>
      </c>
      <c r="E214" s="192"/>
      <c r="F214" s="231"/>
      <c r="G214" s="204"/>
      <c r="H214" s="189"/>
      <c r="I214" s="190"/>
      <c r="J214" s="4"/>
      <c r="K214" s="172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">
      <c r="A215" s="179">
        <f>'Données projet'!A198</f>
        <v>40</v>
      </c>
      <c r="B215" s="180">
        <f>'Données projet'!D198</f>
        <v>84</v>
      </c>
      <c r="C215" s="192">
        <f>'Données projet'!E198*65+SUM('Données projet'!F198:G198)*19.4+'Données projet'!H198*10</f>
        <v>46.76</v>
      </c>
      <c r="D215" s="178">
        <f t="shared" si="12"/>
        <v>3927.8399999999997</v>
      </c>
      <c r="E215" s="192"/>
      <c r="F215" s="231"/>
      <c r="G215" s="205"/>
      <c r="H215" s="189"/>
      <c r="I215" s="190"/>
      <c r="J215" s="4"/>
      <c r="K215" s="172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">
      <c r="A216" s="179">
        <f>'Données projet'!A199</f>
        <v>45</v>
      </c>
      <c r="B216" s="180">
        <f>'Données projet'!D199</f>
        <v>80</v>
      </c>
      <c r="C216" s="192">
        <f>'Données projet'!E199*65+SUM('Données projet'!F199:G199)*19.4+'Données projet'!H199*10</f>
        <v>51.32</v>
      </c>
      <c r="D216" s="178">
        <f t="shared" si="12"/>
        <v>4105.6000000000004</v>
      </c>
      <c r="E216" s="192"/>
      <c r="F216" s="231"/>
      <c r="G216" s="205"/>
      <c r="H216" s="189"/>
      <c r="I216" s="190"/>
      <c r="J216" s="4"/>
      <c r="K216" s="172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">
      <c r="A217" s="179">
        <f>'Données projet'!A200</f>
        <v>50</v>
      </c>
      <c r="B217" s="180">
        <f>'Données projet'!D200</f>
        <v>639</v>
      </c>
      <c r="C217" s="192">
        <f>'Données projet'!E200*65+SUM('Données projet'!F200:G200)*19.4+'Données projet'!H200*10</f>
        <v>55.88</v>
      </c>
      <c r="D217" s="178">
        <f t="shared" si="12"/>
        <v>35707.32</v>
      </c>
      <c r="E217" s="192"/>
      <c r="F217" s="231"/>
      <c r="G217" s="205"/>
      <c r="H217" s="189"/>
      <c r="I217" s="190"/>
      <c r="J217" s="4"/>
      <c r="K217" s="172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">
      <c r="A218" s="179">
        <f>'Données projet'!A201</f>
        <v>0</v>
      </c>
      <c r="B218" s="180">
        <f>'Données projet'!D201</f>
        <v>0</v>
      </c>
      <c r="C218" s="192">
        <f>'Données projet'!E201*65+SUM('Données projet'!F201:G201)*19.4+'Données projet'!H201*10</f>
        <v>0</v>
      </c>
      <c r="D218" s="178">
        <f t="shared" si="12"/>
        <v>0</v>
      </c>
      <c r="E218" s="192"/>
      <c r="F218" s="231"/>
      <c r="G218" s="205"/>
      <c r="H218" s="189"/>
      <c r="I218" s="190"/>
      <c r="J218" s="4"/>
      <c r="K218" s="172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">
      <c r="A219" s="179">
        <f>'Données projet'!A202</f>
        <v>0</v>
      </c>
      <c r="B219" s="180">
        <f>'Données projet'!D202</f>
        <v>0</v>
      </c>
      <c r="C219" s="192">
        <f>'Données projet'!E202*65+SUM('Données projet'!F202:G202)*19.4+'Données projet'!H202*10</f>
        <v>0</v>
      </c>
      <c r="D219" s="178">
        <f t="shared" si="12"/>
        <v>0</v>
      </c>
      <c r="E219" s="192"/>
      <c r="F219" s="231"/>
      <c r="G219" s="205"/>
      <c r="H219" s="189"/>
      <c r="I219" s="190"/>
      <c r="J219" s="4"/>
      <c r="K219" s="172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">
      <c r="A220" s="179">
        <f>'Données projet'!A203</f>
        <v>0</v>
      </c>
      <c r="B220" s="180">
        <f>'Données projet'!D203</f>
        <v>0</v>
      </c>
      <c r="C220" s="192">
        <f>'Données projet'!E203*65+SUM('Données projet'!F203:G203)*19.4+'Données projet'!H203*10</f>
        <v>0</v>
      </c>
      <c r="D220" s="178">
        <f t="shared" si="12"/>
        <v>0</v>
      </c>
      <c r="E220" s="192"/>
      <c r="F220" s="231"/>
      <c r="G220" s="205"/>
      <c r="H220" s="4"/>
      <c r="I220" s="4"/>
      <c r="J220" s="4"/>
      <c r="K220" s="172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">
      <c r="A221" s="179">
        <f>'Données projet'!A204</f>
        <v>0</v>
      </c>
      <c r="B221" s="180">
        <f>'Données projet'!D204</f>
        <v>0</v>
      </c>
      <c r="C221" s="192">
        <f>'Données projet'!E204*65+SUM('Données projet'!F204:G204)*19.4+'Données projet'!H204*10</f>
        <v>0</v>
      </c>
      <c r="D221" s="178">
        <f t="shared" si="12"/>
        <v>0</v>
      </c>
      <c r="E221" s="192"/>
      <c r="F221" s="231"/>
      <c r="G221" s="205"/>
      <c r="H221" s="4"/>
      <c r="I221" s="4"/>
      <c r="J221" s="4"/>
      <c r="K221" s="172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">
      <c r="A222" s="179">
        <f>'Données projet'!A205</f>
        <v>0</v>
      </c>
      <c r="B222" s="180">
        <f>'Données projet'!D205</f>
        <v>0</v>
      </c>
      <c r="C222" s="192">
        <f>'Données projet'!E205*65+SUM('Données projet'!F205:G205)*19.4+'Données projet'!H205*10</f>
        <v>0</v>
      </c>
      <c r="D222" s="178">
        <f t="shared" si="12"/>
        <v>0</v>
      </c>
      <c r="E222" s="192"/>
      <c r="F222" s="231"/>
      <c r="G222" s="205"/>
      <c r="H222" s="4"/>
      <c r="I222" s="4"/>
      <c r="J222" s="4"/>
      <c r="K222" s="172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">
      <c r="A223" s="179">
        <f>'Données projet'!A206</f>
        <v>0</v>
      </c>
      <c r="B223" s="180">
        <f>'Données projet'!D206</f>
        <v>0</v>
      </c>
      <c r="C223" s="192">
        <f>'Données projet'!E206*65+SUM('Données projet'!F206:G206)*19.4+'Données projet'!H206*10</f>
        <v>0</v>
      </c>
      <c r="D223" s="178">
        <f t="shared" si="12"/>
        <v>0</v>
      </c>
      <c r="E223" s="192"/>
      <c r="F223" s="231"/>
      <c r="G223" s="205"/>
      <c r="H223" s="4"/>
      <c r="I223" s="4"/>
      <c r="J223" s="4"/>
      <c r="K223" s="172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">
      <c r="A224" s="179">
        <f>'Données projet'!A207</f>
        <v>0</v>
      </c>
      <c r="B224" s="180">
        <f>'Données projet'!D207</f>
        <v>0</v>
      </c>
      <c r="C224" s="192">
        <f>'Données projet'!E207*65+SUM('Données projet'!F207:G207)*19.4+'Données projet'!H207*10</f>
        <v>0</v>
      </c>
      <c r="D224" s="178">
        <f t="shared" si="12"/>
        <v>0</v>
      </c>
      <c r="E224" s="192"/>
      <c r="F224" s="231"/>
      <c r="G224" s="205"/>
      <c r="H224" s="4"/>
      <c r="I224" s="4"/>
      <c r="J224" s="4"/>
      <c r="K224" s="172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">
      <c r="A225" s="179">
        <f>'Données projet'!A208</f>
        <v>0</v>
      </c>
      <c r="B225" s="180">
        <f>'Données projet'!D208</f>
        <v>0</v>
      </c>
      <c r="C225" s="192">
        <f>'Données projet'!E208*65+SUM('Données projet'!F208:G208)*19.4+'Données projet'!H208*10</f>
        <v>0</v>
      </c>
      <c r="D225" s="178">
        <f t="shared" si="12"/>
        <v>0</v>
      </c>
      <c r="E225" s="192"/>
      <c r="F225" s="231"/>
      <c r="G225" s="205"/>
      <c r="H225" s="4"/>
      <c r="I225" s="4"/>
      <c r="J225" s="4"/>
      <c r="K225" s="172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">
      <c r="A226" s="179">
        <f>'Données projet'!A209</f>
        <v>0</v>
      </c>
      <c r="B226" s="180">
        <f>'Données projet'!D209</f>
        <v>0</v>
      </c>
      <c r="C226" s="192">
        <f>'Données projet'!E209*65+SUM('Données projet'!F209:G209)*19.4+'Données projet'!H209*10</f>
        <v>0</v>
      </c>
      <c r="D226" s="178">
        <f t="shared" si="12"/>
        <v>0</v>
      </c>
      <c r="E226" s="192"/>
      <c r="F226" s="231"/>
      <c r="G226" s="205"/>
      <c r="H226" s="4"/>
      <c r="I226" s="4"/>
      <c r="J226" s="4"/>
      <c r="K226" s="172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">
      <c r="A227" s="179">
        <f>'Données projet'!A210</f>
        <v>0</v>
      </c>
      <c r="B227" s="180">
        <f>'Données projet'!D210</f>
        <v>0</v>
      </c>
      <c r="C227" s="192">
        <f>'Données projet'!E210*65+SUM('Données projet'!F210:G210)*19.4+'Données projet'!H210*10</f>
        <v>0</v>
      </c>
      <c r="D227" s="178">
        <f t="shared" si="12"/>
        <v>0</v>
      </c>
      <c r="E227" s="192"/>
      <c r="F227" s="231"/>
      <c r="G227" s="205"/>
      <c r="H227" s="4"/>
      <c r="I227" s="4"/>
      <c r="J227" s="4"/>
      <c r="K227" s="172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">
      <c r="A228" s="179">
        <f>'Données projet'!A211</f>
        <v>0</v>
      </c>
      <c r="B228" s="180">
        <f>'Données projet'!D211</f>
        <v>0</v>
      </c>
      <c r="C228" s="192">
        <f>'Données projet'!E211*65+SUM('Données projet'!F211:G211)*19.4+'Données projet'!H211*10</f>
        <v>0</v>
      </c>
      <c r="D228" s="178">
        <f t="shared" si="12"/>
        <v>0</v>
      </c>
      <c r="E228" s="192"/>
      <c r="F228" s="231"/>
      <c r="G228" s="205"/>
      <c r="H228" s="4"/>
      <c r="I228" s="4"/>
      <c r="J228" s="4"/>
      <c r="K228" s="172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">
      <c r="A229" s="4"/>
      <c r="B229" s="4"/>
      <c r="C229" s="4"/>
      <c r="D229" s="4"/>
      <c r="E229" s="4"/>
      <c r="F229" s="229"/>
      <c r="G229" s="205"/>
      <c r="H229" s="4"/>
      <c r="I229" s="4"/>
      <c r="J229" s="4"/>
      <c r="K229" s="172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">
      <c r="A230" s="4"/>
      <c r="B230" s="4"/>
      <c r="C230" s="4"/>
      <c r="D230" s="4"/>
      <c r="E230" s="4"/>
      <c r="F230" s="229"/>
      <c r="G230" s="205"/>
      <c r="H230" s="4"/>
      <c r="I230" s="4"/>
      <c r="J230" s="4"/>
      <c r="K230" s="172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">
      <c r="A231" s="46" t="s">
        <v>172</v>
      </c>
      <c r="B231" s="173" t="str">
        <f>IF('Données projet'!$B$16="","",'Données projet'!$B$16)</f>
        <v/>
      </c>
      <c r="C231" s="4"/>
      <c r="D231" s="4"/>
      <c r="E231" s="4"/>
      <c r="F231" s="229"/>
      <c r="G231" s="205"/>
      <c r="H231" s="4"/>
      <c r="I231" s="4"/>
      <c r="J231" s="4"/>
      <c r="K231" s="172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">
      <c r="A232" s="46"/>
      <c r="B232" s="4"/>
      <c r="C232" s="4"/>
      <c r="D232" s="4"/>
      <c r="E232" s="4"/>
      <c r="F232" s="229"/>
      <c r="G232" s="205"/>
      <c r="H232" s="4"/>
      <c r="I232" s="4"/>
      <c r="J232" s="4"/>
      <c r="K232" s="172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ht="16" x14ac:dyDescent="0.2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0"/>
      <c r="G233" s="205"/>
      <c r="H233" s="4"/>
      <c r="I233" s="4"/>
      <c r="J233" s="4"/>
      <c r="K233" s="172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ht="16" x14ac:dyDescent="0.2">
      <c r="A234" s="49">
        <v>0</v>
      </c>
      <c r="B234" s="198" t="s">
        <v>132</v>
      </c>
      <c r="C234" s="197" t="s">
        <v>132</v>
      </c>
      <c r="D234" s="196" t="s">
        <v>132</v>
      </c>
      <c r="E234" s="192"/>
      <c r="F234" s="230"/>
      <c r="G234" s="205"/>
      <c r="H234" s="4"/>
      <c r="I234" s="4"/>
      <c r="J234" s="4"/>
      <c r="K234" s="172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ht="16" x14ac:dyDescent="0.2">
      <c r="A235" s="49">
        <v>1</v>
      </c>
      <c r="B235" s="198" t="s">
        <v>132</v>
      </c>
      <c r="C235" s="197" t="s">
        <v>132</v>
      </c>
      <c r="D235" s="196" t="s">
        <v>132</v>
      </c>
      <c r="E235" s="192"/>
      <c r="F235" s="230"/>
      <c r="G235" s="23"/>
      <c r="H235" s="4"/>
      <c r="I235" s="4"/>
      <c r="J235" s="4"/>
      <c r="K235" s="172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ht="16" x14ac:dyDescent="0.2">
      <c r="A236" s="49">
        <v>2</v>
      </c>
      <c r="B236" s="198" t="s">
        <v>132</v>
      </c>
      <c r="C236" s="197" t="s">
        <v>132</v>
      </c>
      <c r="D236" s="196" t="s">
        <v>132</v>
      </c>
      <c r="E236" s="192"/>
      <c r="F236" s="230"/>
      <c r="G236" s="23"/>
      <c r="H236" s="4"/>
      <c r="I236" s="4"/>
      <c r="J236" s="4"/>
      <c r="K236" s="172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ht="16" x14ac:dyDescent="0.2">
      <c r="A237" s="49">
        <v>3</v>
      </c>
      <c r="B237" s="198" t="s">
        <v>132</v>
      </c>
      <c r="C237" s="197" t="s">
        <v>132</v>
      </c>
      <c r="D237" s="196" t="s">
        <v>132</v>
      </c>
      <c r="E237" s="192"/>
      <c r="F237" s="230"/>
      <c r="G237" s="23"/>
      <c r="H237" s="4"/>
      <c r="I237" s="4"/>
      <c r="J237" s="4"/>
      <c r="K237" s="172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ht="16" x14ac:dyDescent="0.2">
      <c r="A238" s="49">
        <v>4</v>
      </c>
      <c r="B238" s="198" t="s">
        <v>132</v>
      </c>
      <c r="C238" s="197" t="s">
        <v>132</v>
      </c>
      <c r="D238" s="196" t="s">
        <v>132</v>
      </c>
      <c r="E238" s="192"/>
      <c r="F238" s="230"/>
      <c r="G238" s="23"/>
      <c r="H238" s="4"/>
      <c r="I238" s="4"/>
      <c r="J238" s="4"/>
      <c r="K238" s="172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ht="16" x14ac:dyDescent="0.2">
      <c r="A239" s="49">
        <v>5</v>
      </c>
      <c r="B239" s="198" t="s">
        <v>132</v>
      </c>
      <c r="C239" s="197" t="s">
        <v>132</v>
      </c>
      <c r="D239" s="196" t="s">
        <v>132</v>
      </c>
      <c r="E239" s="192"/>
      <c r="F239" s="230"/>
      <c r="G239" s="204"/>
      <c r="H239" s="4"/>
      <c r="I239" s="4"/>
      <c r="J239" s="4"/>
      <c r="K239" s="172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">
      <c r="A240" s="179">
        <f>'Données projet'!A218</f>
        <v>0</v>
      </c>
      <c r="B240" s="180">
        <f>'Données projet'!D218</f>
        <v>0</v>
      </c>
      <c r="C240" s="192"/>
      <c r="D240" s="178">
        <f>B240*C240</f>
        <v>0</v>
      </c>
      <c r="E240" s="192"/>
      <c r="F240" s="231"/>
      <c r="G240" s="204"/>
      <c r="H240" s="4"/>
      <c r="I240" s="4"/>
      <c r="J240" s="4"/>
      <c r="K240" s="172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">
      <c r="A241" s="179">
        <f>'Données projet'!A219</f>
        <v>0</v>
      </c>
      <c r="B241" s="180">
        <f>'Données projet'!D219</f>
        <v>0</v>
      </c>
      <c r="C241" s="192"/>
      <c r="D241" s="178">
        <f t="shared" ref="D241:D259" si="13">B241*C241</f>
        <v>0</v>
      </c>
      <c r="E241" s="192"/>
      <c r="F241" s="231"/>
      <c r="G241" s="204"/>
      <c r="H241" s="4"/>
      <c r="I241" s="4"/>
      <c r="J241" s="4"/>
      <c r="K241" s="172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">
      <c r="A242" s="179">
        <f>'Données projet'!A220</f>
        <v>0</v>
      </c>
      <c r="B242" s="180">
        <f>'Données projet'!D220</f>
        <v>0</v>
      </c>
      <c r="C242" s="192"/>
      <c r="D242" s="178">
        <f t="shared" si="13"/>
        <v>0</v>
      </c>
      <c r="E242" s="192"/>
      <c r="F242" s="231"/>
      <c r="G242" s="204"/>
      <c r="H242" s="4"/>
      <c r="I242" s="4"/>
      <c r="J242" s="4"/>
      <c r="K242" s="172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">
      <c r="A243" s="179">
        <f>'Données projet'!A221</f>
        <v>0</v>
      </c>
      <c r="B243" s="180">
        <f>'Données projet'!D221</f>
        <v>0</v>
      </c>
      <c r="C243" s="192"/>
      <c r="D243" s="178">
        <f t="shared" si="13"/>
        <v>0</v>
      </c>
      <c r="E243" s="192"/>
      <c r="F243" s="231"/>
      <c r="G243" s="204"/>
      <c r="H243" s="4"/>
      <c r="I243" s="4"/>
      <c r="J243" s="4"/>
      <c r="K243" s="172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">
      <c r="A244" s="179">
        <f>'Données projet'!A222</f>
        <v>0</v>
      </c>
      <c r="B244" s="180">
        <f>'Données projet'!D222</f>
        <v>0</v>
      </c>
      <c r="C244" s="192"/>
      <c r="D244" s="178">
        <f t="shared" si="13"/>
        <v>0</v>
      </c>
      <c r="E244" s="192"/>
      <c r="F244" s="231"/>
      <c r="G244" s="204"/>
      <c r="H244" s="4"/>
      <c r="I244" s="4"/>
      <c r="J244" s="4"/>
      <c r="K244" s="172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">
      <c r="A245" s="179">
        <f>'Données projet'!A223</f>
        <v>0</v>
      </c>
      <c r="B245" s="180">
        <f>'Données projet'!D223</f>
        <v>0</v>
      </c>
      <c r="C245" s="192"/>
      <c r="D245" s="178">
        <f t="shared" si="13"/>
        <v>0</v>
      </c>
      <c r="E245" s="192"/>
      <c r="F245" s="231"/>
      <c r="G245" s="204"/>
      <c r="H245" s="4"/>
      <c r="I245" s="4"/>
      <c r="J245" s="4"/>
      <c r="K245" s="172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">
      <c r="A246" s="179">
        <f>'Données projet'!A224</f>
        <v>0</v>
      </c>
      <c r="B246" s="180">
        <f>'Données projet'!D224</f>
        <v>0</v>
      </c>
      <c r="C246" s="192"/>
      <c r="D246" s="178">
        <f t="shared" si="13"/>
        <v>0</v>
      </c>
      <c r="E246" s="192"/>
      <c r="F246" s="231"/>
      <c r="G246" s="205"/>
      <c r="H246" s="4"/>
      <c r="I246" s="4"/>
      <c r="J246" s="4"/>
      <c r="K246" s="172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">
      <c r="A247" s="179">
        <f>'Données projet'!A225</f>
        <v>0</v>
      </c>
      <c r="B247" s="180">
        <f>'Données projet'!D225</f>
        <v>0</v>
      </c>
      <c r="C247" s="192"/>
      <c r="D247" s="178">
        <f t="shared" si="13"/>
        <v>0</v>
      </c>
      <c r="E247" s="192"/>
      <c r="F247" s="231"/>
      <c r="G247" s="205"/>
      <c r="H247" s="4"/>
      <c r="I247" s="4"/>
      <c r="J247" s="4"/>
      <c r="K247" s="172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">
      <c r="A248" s="179">
        <f>'Données projet'!A226</f>
        <v>0</v>
      </c>
      <c r="B248" s="180">
        <f>'Données projet'!D226</f>
        <v>0</v>
      </c>
      <c r="C248" s="192"/>
      <c r="D248" s="178">
        <f t="shared" si="13"/>
        <v>0</v>
      </c>
      <c r="E248" s="192"/>
      <c r="F248" s="231"/>
      <c r="G248" s="205"/>
      <c r="H248" s="4"/>
      <c r="I248" s="4"/>
      <c r="J248" s="4"/>
      <c r="K248" s="172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">
      <c r="A249" s="179">
        <f>'Données projet'!A227</f>
        <v>0</v>
      </c>
      <c r="B249" s="180">
        <f>'Données projet'!D227</f>
        <v>0</v>
      </c>
      <c r="C249" s="192"/>
      <c r="D249" s="178">
        <f t="shared" si="13"/>
        <v>0</v>
      </c>
      <c r="E249" s="192"/>
      <c r="F249" s="231"/>
      <c r="G249" s="205"/>
      <c r="H249" s="4"/>
      <c r="I249" s="4"/>
      <c r="J249" s="4"/>
      <c r="K249" s="172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">
      <c r="A250" s="179">
        <f>'Données projet'!A228</f>
        <v>0</v>
      </c>
      <c r="B250" s="180">
        <f>'Données projet'!D228</f>
        <v>0</v>
      </c>
      <c r="C250" s="192"/>
      <c r="D250" s="178">
        <f t="shared" si="13"/>
        <v>0</v>
      </c>
      <c r="E250" s="192"/>
      <c r="F250" s="231"/>
      <c r="G250" s="205"/>
      <c r="H250" s="4"/>
      <c r="I250" s="4"/>
      <c r="J250" s="4"/>
      <c r="K250" s="172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">
      <c r="A251" s="179">
        <f>'Données projet'!A229</f>
        <v>0</v>
      </c>
      <c r="B251" s="180">
        <f>'Données projet'!D229</f>
        <v>0</v>
      </c>
      <c r="C251" s="192"/>
      <c r="D251" s="178">
        <f t="shared" si="13"/>
        <v>0</v>
      </c>
      <c r="E251" s="192"/>
      <c r="F251" s="231"/>
      <c r="G251" s="205"/>
      <c r="H251" s="4"/>
      <c r="I251" s="4"/>
      <c r="J251" s="4"/>
      <c r="K251" s="172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">
      <c r="A252" s="179">
        <f>'Données projet'!A230</f>
        <v>0</v>
      </c>
      <c r="B252" s="180">
        <f>'Données projet'!D230</f>
        <v>0</v>
      </c>
      <c r="C252" s="192"/>
      <c r="D252" s="178">
        <f t="shared" si="13"/>
        <v>0</v>
      </c>
      <c r="E252" s="192"/>
      <c r="F252" s="231"/>
      <c r="G252" s="205"/>
      <c r="H252" s="4"/>
      <c r="I252" s="4"/>
      <c r="J252" s="4"/>
      <c r="K252" s="172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">
      <c r="A253" s="179">
        <f>'Données projet'!A231</f>
        <v>0</v>
      </c>
      <c r="B253" s="180">
        <f>'Données projet'!D231</f>
        <v>0</v>
      </c>
      <c r="C253" s="192"/>
      <c r="D253" s="178">
        <f t="shared" si="13"/>
        <v>0</v>
      </c>
      <c r="E253" s="192"/>
      <c r="F253" s="231"/>
      <c r="G253" s="205"/>
      <c r="H253" s="4"/>
      <c r="I253" s="4"/>
      <c r="J253" s="4"/>
      <c r="K253" s="172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">
      <c r="A254" s="179">
        <f>'Données projet'!A232</f>
        <v>0</v>
      </c>
      <c r="B254" s="180">
        <f>'Données projet'!D232</f>
        <v>0</v>
      </c>
      <c r="C254" s="192"/>
      <c r="D254" s="178">
        <f t="shared" si="13"/>
        <v>0</v>
      </c>
      <c r="E254" s="192"/>
      <c r="F254" s="231"/>
      <c r="G254" s="205"/>
      <c r="H254" s="4"/>
      <c r="I254" s="4"/>
      <c r="J254" s="4"/>
      <c r="K254" s="172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">
      <c r="A255" s="179">
        <f>'Données projet'!A233</f>
        <v>0</v>
      </c>
      <c r="B255" s="180">
        <f>'Données projet'!D233</f>
        <v>0</v>
      </c>
      <c r="C255" s="192"/>
      <c r="D255" s="178">
        <f t="shared" si="13"/>
        <v>0</v>
      </c>
      <c r="E255" s="192"/>
      <c r="F255" s="231"/>
      <c r="G255" s="205"/>
      <c r="H255" s="4"/>
      <c r="I255" s="4"/>
      <c r="J255" s="4"/>
      <c r="K255" s="172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">
      <c r="A256" s="179">
        <f>'Données projet'!A234</f>
        <v>0</v>
      </c>
      <c r="B256" s="180">
        <f>'Données projet'!D234</f>
        <v>0</v>
      </c>
      <c r="C256" s="192"/>
      <c r="D256" s="178">
        <f t="shared" si="13"/>
        <v>0</v>
      </c>
      <c r="E256" s="192"/>
      <c r="F256" s="231"/>
      <c r="G256" s="205"/>
      <c r="H256" s="4"/>
      <c r="I256" s="4"/>
      <c r="J256" s="4"/>
      <c r="K256" s="172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">
      <c r="A257" s="179">
        <f>'Données projet'!A235</f>
        <v>0</v>
      </c>
      <c r="B257" s="180">
        <f>'Données projet'!D235</f>
        <v>0</v>
      </c>
      <c r="C257" s="192"/>
      <c r="D257" s="178">
        <f t="shared" si="13"/>
        <v>0</v>
      </c>
      <c r="E257" s="192"/>
      <c r="F257" s="231"/>
      <c r="G257" s="205"/>
      <c r="H257" s="4"/>
      <c r="I257" s="4"/>
      <c r="J257" s="4"/>
      <c r="K257" s="172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">
      <c r="A258" s="179">
        <f>'Données projet'!A236</f>
        <v>0</v>
      </c>
      <c r="B258" s="180">
        <f>'Données projet'!D236</f>
        <v>0</v>
      </c>
      <c r="C258" s="192"/>
      <c r="D258" s="178">
        <f t="shared" si="13"/>
        <v>0</v>
      </c>
      <c r="E258" s="192"/>
      <c r="F258" s="231"/>
      <c r="G258" s="205"/>
      <c r="H258" s="4"/>
      <c r="I258" s="4"/>
      <c r="J258" s="4"/>
      <c r="K258" s="172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">
      <c r="A259" s="179">
        <f>'Données projet'!A237</f>
        <v>0</v>
      </c>
      <c r="B259" s="180">
        <f>'Données projet'!D237</f>
        <v>0</v>
      </c>
      <c r="C259" s="192"/>
      <c r="D259" s="178">
        <f t="shared" si="13"/>
        <v>0</v>
      </c>
      <c r="E259" s="192"/>
      <c r="F259" s="231"/>
      <c r="G259" s="205"/>
      <c r="H259" s="4"/>
      <c r="I259" s="4"/>
      <c r="J259" s="4"/>
      <c r="K259" s="172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">
      <c r="A260" s="4"/>
      <c r="B260" s="4"/>
      <c r="C260" s="4"/>
      <c r="D260" s="4"/>
      <c r="E260" s="4"/>
      <c r="F260" s="229"/>
      <c r="G260" s="205"/>
      <c r="H260" s="4"/>
      <c r="I260" s="4"/>
      <c r="J260" s="4"/>
      <c r="K260" s="172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">
      <c r="A261" s="4"/>
      <c r="B261" s="4"/>
      <c r="C261" s="4"/>
      <c r="D261" s="4"/>
      <c r="E261" s="4"/>
      <c r="F261" s="229"/>
      <c r="G261" s="205"/>
      <c r="H261" s="4"/>
      <c r="I261" s="4"/>
      <c r="J261" s="4"/>
      <c r="K261" s="172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">
      <c r="A262" s="46" t="s">
        <v>173</v>
      </c>
      <c r="B262" s="173" t="str">
        <f>IF('Données projet'!$B$17="","",'Données projet'!$B$17)</f>
        <v/>
      </c>
      <c r="C262" s="4"/>
      <c r="D262" s="4"/>
      <c r="E262" s="4"/>
      <c r="F262" s="229"/>
      <c r="G262" s="205"/>
      <c r="H262" s="4"/>
      <c r="I262" s="4"/>
      <c r="J262" s="4"/>
      <c r="K262" s="172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">
      <c r="A263" s="46"/>
      <c r="B263" s="4"/>
      <c r="C263" s="4"/>
      <c r="D263" s="4"/>
      <c r="E263" s="4"/>
      <c r="F263" s="229"/>
      <c r="G263" s="205"/>
      <c r="H263" s="4"/>
      <c r="I263" s="4"/>
      <c r="J263" s="4"/>
      <c r="K263" s="172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ht="16" x14ac:dyDescent="0.2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0"/>
      <c r="G264" s="205"/>
      <c r="H264" s="4"/>
      <c r="I264" s="4"/>
      <c r="J264" s="4"/>
      <c r="K264" s="172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ht="16" x14ac:dyDescent="0.2">
      <c r="A265" s="49">
        <v>0</v>
      </c>
      <c r="B265" s="198" t="s">
        <v>132</v>
      </c>
      <c r="C265" s="197" t="s">
        <v>132</v>
      </c>
      <c r="D265" s="196" t="s">
        <v>132</v>
      </c>
      <c r="E265" s="192"/>
      <c r="F265" s="230"/>
      <c r="G265" s="205"/>
      <c r="H265" s="4"/>
      <c r="I265" s="4"/>
      <c r="J265" s="4"/>
      <c r="K265" s="172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ht="16" x14ac:dyDescent="0.2">
      <c r="A266" s="49">
        <v>1</v>
      </c>
      <c r="B266" s="198" t="s">
        <v>132</v>
      </c>
      <c r="C266" s="197" t="s">
        <v>132</v>
      </c>
      <c r="D266" s="196" t="s">
        <v>132</v>
      </c>
      <c r="E266" s="192"/>
      <c r="F266" s="230"/>
      <c r="G266" s="23"/>
      <c r="H266" s="4"/>
      <c r="I266" s="4"/>
      <c r="J266" s="4"/>
      <c r="K266" s="172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ht="16" x14ac:dyDescent="0.2">
      <c r="A267" s="49">
        <v>2</v>
      </c>
      <c r="B267" s="198" t="s">
        <v>132</v>
      </c>
      <c r="C267" s="197" t="s">
        <v>132</v>
      </c>
      <c r="D267" s="196" t="s">
        <v>132</v>
      </c>
      <c r="E267" s="192"/>
      <c r="F267" s="230"/>
      <c r="G267" s="23"/>
      <c r="H267" s="4"/>
      <c r="I267" s="4"/>
      <c r="J267" s="4"/>
      <c r="K267" s="172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ht="16" x14ac:dyDescent="0.2">
      <c r="A268" s="49">
        <v>3</v>
      </c>
      <c r="B268" s="198" t="s">
        <v>132</v>
      </c>
      <c r="C268" s="197" t="s">
        <v>132</v>
      </c>
      <c r="D268" s="196" t="s">
        <v>132</v>
      </c>
      <c r="E268" s="192"/>
      <c r="F268" s="230"/>
      <c r="G268" s="23"/>
      <c r="H268" s="4"/>
      <c r="I268" s="4"/>
      <c r="J268" s="4"/>
      <c r="K268" s="172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ht="16" x14ac:dyDescent="0.2">
      <c r="A269" s="49">
        <v>4</v>
      </c>
      <c r="B269" s="198" t="s">
        <v>132</v>
      </c>
      <c r="C269" s="197" t="s">
        <v>132</v>
      </c>
      <c r="D269" s="196" t="s">
        <v>132</v>
      </c>
      <c r="E269" s="192"/>
      <c r="F269" s="230"/>
      <c r="G269" s="23"/>
      <c r="H269" s="4"/>
      <c r="I269" s="4"/>
      <c r="J269" s="4"/>
      <c r="K269" s="172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ht="16" x14ac:dyDescent="0.2">
      <c r="A270" s="49">
        <v>5</v>
      </c>
      <c r="B270" s="198" t="s">
        <v>132</v>
      </c>
      <c r="C270" s="197" t="s">
        <v>132</v>
      </c>
      <c r="D270" s="196" t="s">
        <v>132</v>
      </c>
      <c r="E270" s="192"/>
      <c r="F270" s="230"/>
      <c r="G270" s="204"/>
      <c r="H270" s="4"/>
      <c r="I270" s="4"/>
      <c r="J270" s="4"/>
      <c r="K270" s="172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">
      <c r="A271" s="179">
        <f>'Données projet'!A244</f>
        <v>0</v>
      </c>
      <c r="B271" s="180">
        <f>'Données projet'!D244</f>
        <v>0</v>
      </c>
      <c r="C271" s="192"/>
      <c r="D271" s="178">
        <f>B271*C271</f>
        <v>0</v>
      </c>
      <c r="E271" s="192"/>
      <c r="F271" s="231"/>
      <c r="G271" s="204"/>
      <c r="H271" s="4"/>
      <c r="I271" s="4"/>
      <c r="J271" s="4"/>
      <c r="K271" s="172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">
      <c r="A272" s="179">
        <f>'Données projet'!A245</f>
        <v>0</v>
      </c>
      <c r="B272" s="180">
        <f>'Données projet'!D245</f>
        <v>0</v>
      </c>
      <c r="C272" s="192"/>
      <c r="D272" s="178">
        <f t="shared" ref="D272:D290" si="14">B272*C272</f>
        <v>0</v>
      </c>
      <c r="E272" s="192"/>
      <c r="F272" s="231"/>
      <c r="G272" s="204"/>
      <c r="H272" s="4"/>
      <c r="I272" s="4"/>
      <c r="J272" s="4"/>
      <c r="K272" s="172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">
      <c r="A273" s="179">
        <f>'Données projet'!A246</f>
        <v>0</v>
      </c>
      <c r="B273" s="180">
        <f>'Données projet'!D246</f>
        <v>0</v>
      </c>
      <c r="C273" s="192"/>
      <c r="D273" s="178">
        <f t="shared" si="14"/>
        <v>0</v>
      </c>
      <c r="E273" s="192"/>
      <c r="F273" s="231"/>
      <c r="G273" s="204"/>
      <c r="H273" s="4"/>
      <c r="I273" s="4"/>
      <c r="J273" s="4"/>
      <c r="K273" s="172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">
      <c r="A274" s="179">
        <f>'Données projet'!A247</f>
        <v>0</v>
      </c>
      <c r="B274" s="180">
        <f>'Données projet'!D247</f>
        <v>0</v>
      </c>
      <c r="C274" s="192"/>
      <c r="D274" s="178">
        <f t="shared" si="14"/>
        <v>0</v>
      </c>
      <c r="E274" s="192"/>
      <c r="F274" s="231"/>
      <c r="G274" s="204"/>
      <c r="H274" s="4"/>
      <c r="I274" s="4"/>
      <c r="J274" s="4"/>
      <c r="K274" s="172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">
      <c r="A275" s="179">
        <f>'Données projet'!A248</f>
        <v>0</v>
      </c>
      <c r="B275" s="180">
        <f>'Données projet'!D248</f>
        <v>0</v>
      </c>
      <c r="C275" s="192"/>
      <c r="D275" s="178">
        <f t="shared" si="14"/>
        <v>0</v>
      </c>
      <c r="E275" s="192"/>
      <c r="F275" s="231"/>
      <c r="G275" s="204"/>
      <c r="H275" s="4"/>
      <c r="I275" s="4"/>
      <c r="J275" s="4"/>
      <c r="K275" s="172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">
      <c r="A276" s="179">
        <f>'Données projet'!A249</f>
        <v>0</v>
      </c>
      <c r="B276" s="180">
        <f>'Données projet'!D249</f>
        <v>0</v>
      </c>
      <c r="C276" s="192"/>
      <c r="D276" s="178">
        <f t="shared" si="14"/>
        <v>0</v>
      </c>
      <c r="E276" s="192"/>
      <c r="F276" s="231"/>
      <c r="G276" s="204"/>
      <c r="H276" s="4"/>
      <c r="I276" s="4"/>
      <c r="J276" s="4"/>
      <c r="K276" s="172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">
      <c r="A277" s="179">
        <f>'Données projet'!A250</f>
        <v>0</v>
      </c>
      <c r="B277" s="180">
        <f>'Données projet'!D250</f>
        <v>0</v>
      </c>
      <c r="C277" s="192"/>
      <c r="D277" s="178">
        <f t="shared" si="14"/>
        <v>0</v>
      </c>
      <c r="E277" s="192"/>
      <c r="F277" s="231"/>
      <c r="G277" s="205"/>
      <c r="H277" s="4"/>
      <c r="I277" s="4"/>
      <c r="J277" s="4"/>
      <c r="K277" s="172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">
      <c r="A278" s="179">
        <f>'Données projet'!A251</f>
        <v>0</v>
      </c>
      <c r="B278" s="180">
        <f>'Données projet'!D251</f>
        <v>0</v>
      </c>
      <c r="C278" s="192"/>
      <c r="D278" s="178">
        <f t="shared" si="14"/>
        <v>0</v>
      </c>
      <c r="E278" s="192"/>
      <c r="F278" s="231"/>
      <c r="G278" s="205"/>
      <c r="H278" s="4"/>
      <c r="I278" s="4"/>
      <c r="J278" s="4"/>
      <c r="K278" s="172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">
      <c r="A279" s="179">
        <f>'Données projet'!A252</f>
        <v>0</v>
      </c>
      <c r="B279" s="180">
        <f>'Données projet'!D252</f>
        <v>0</v>
      </c>
      <c r="C279" s="192"/>
      <c r="D279" s="178">
        <f t="shared" si="14"/>
        <v>0</v>
      </c>
      <c r="E279" s="192"/>
      <c r="F279" s="231"/>
      <c r="G279" s="205"/>
      <c r="H279" s="4"/>
      <c r="I279" s="4"/>
      <c r="J279" s="4"/>
      <c r="K279" s="172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">
      <c r="A280" s="179">
        <f>'Données projet'!A253</f>
        <v>0</v>
      </c>
      <c r="B280" s="180">
        <f>'Données projet'!D253</f>
        <v>0</v>
      </c>
      <c r="C280" s="192"/>
      <c r="D280" s="178">
        <f t="shared" si="14"/>
        <v>0</v>
      </c>
      <c r="E280" s="192"/>
      <c r="F280" s="231"/>
      <c r="G280" s="205"/>
      <c r="H280" s="4"/>
      <c r="I280" s="4"/>
      <c r="J280" s="4"/>
      <c r="K280" s="172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">
      <c r="A281" s="179">
        <f>'Données projet'!A254</f>
        <v>0</v>
      </c>
      <c r="B281" s="180">
        <f>'Données projet'!D254</f>
        <v>0</v>
      </c>
      <c r="C281" s="192"/>
      <c r="D281" s="178">
        <f t="shared" si="14"/>
        <v>0</v>
      </c>
      <c r="E281" s="192"/>
      <c r="F281" s="231"/>
      <c r="G281" s="205"/>
      <c r="H281" s="4"/>
      <c r="I281" s="4"/>
      <c r="J281" s="4"/>
      <c r="K281" s="172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">
      <c r="A282" s="179">
        <f>'Données projet'!A255</f>
        <v>0</v>
      </c>
      <c r="B282" s="180">
        <f>'Données projet'!D255</f>
        <v>0</v>
      </c>
      <c r="C282" s="192"/>
      <c r="D282" s="178">
        <f t="shared" si="14"/>
        <v>0</v>
      </c>
      <c r="E282" s="192"/>
      <c r="F282" s="231"/>
      <c r="G282" s="205"/>
      <c r="H282" s="4"/>
      <c r="I282" s="4"/>
      <c r="J282" s="4"/>
      <c r="K282" s="172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">
      <c r="A283" s="179">
        <f>'Données projet'!A256</f>
        <v>0</v>
      </c>
      <c r="B283" s="180">
        <f>'Données projet'!D256</f>
        <v>0</v>
      </c>
      <c r="C283" s="192"/>
      <c r="D283" s="178">
        <f t="shared" si="14"/>
        <v>0</v>
      </c>
      <c r="E283" s="192"/>
      <c r="F283" s="231"/>
      <c r="G283" s="205"/>
      <c r="H283" s="4"/>
      <c r="I283" s="4"/>
      <c r="J283" s="4"/>
      <c r="K283" s="172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">
      <c r="A284" s="179">
        <f>'Données projet'!A257</f>
        <v>0</v>
      </c>
      <c r="B284" s="180">
        <f>'Données projet'!D257</f>
        <v>0</v>
      </c>
      <c r="C284" s="192"/>
      <c r="D284" s="178">
        <f t="shared" si="14"/>
        <v>0</v>
      </c>
      <c r="E284" s="192"/>
      <c r="F284" s="231"/>
      <c r="G284" s="205"/>
      <c r="H284" s="4"/>
      <c r="I284" s="4"/>
      <c r="J284" s="4"/>
      <c r="K284" s="172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">
      <c r="A285" s="179">
        <f>'Données projet'!A258</f>
        <v>0</v>
      </c>
      <c r="B285" s="180">
        <f>'Données projet'!D258</f>
        <v>0</v>
      </c>
      <c r="C285" s="192"/>
      <c r="D285" s="178">
        <f t="shared" si="14"/>
        <v>0</v>
      </c>
      <c r="E285" s="192"/>
      <c r="F285" s="231"/>
      <c r="G285" s="205"/>
      <c r="H285" s="4"/>
      <c r="I285" s="4"/>
      <c r="J285" s="4"/>
      <c r="K285" s="172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">
      <c r="A286" s="179">
        <f>'Données projet'!A259</f>
        <v>0</v>
      </c>
      <c r="B286" s="180">
        <f>'Données projet'!D259</f>
        <v>0</v>
      </c>
      <c r="C286" s="192"/>
      <c r="D286" s="178">
        <f t="shared" si="14"/>
        <v>0</v>
      </c>
      <c r="E286" s="192"/>
      <c r="F286" s="231"/>
      <c r="G286" s="205"/>
      <c r="H286" s="4"/>
      <c r="I286" s="4"/>
      <c r="J286" s="4"/>
      <c r="K286" s="172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">
      <c r="A287" s="179">
        <f>'Données projet'!A260</f>
        <v>0</v>
      </c>
      <c r="B287" s="180">
        <f>'Données projet'!D260</f>
        <v>0</v>
      </c>
      <c r="C287" s="192"/>
      <c r="D287" s="178">
        <f t="shared" si="14"/>
        <v>0</v>
      </c>
      <c r="E287" s="192"/>
      <c r="F287" s="231"/>
      <c r="G287" s="205"/>
      <c r="H287" s="4"/>
      <c r="I287" s="4"/>
      <c r="J287" s="4"/>
      <c r="K287" s="172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">
      <c r="A288" s="179">
        <f>'Données projet'!A261</f>
        <v>0</v>
      </c>
      <c r="B288" s="180">
        <f>'Données projet'!D261</f>
        <v>0</v>
      </c>
      <c r="C288" s="192"/>
      <c r="D288" s="178">
        <f t="shared" si="14"/>
        <v>0</v>
      </c>
      <c r="E288" s="192"/>
      <c r="F288" s="231"/>
      <c r="G288" s="205"/>
      <c r="H288" s="4"/>
      <c r="I288" s="4"/>
      <c r="J288" s="4"/>
      <c r="K288" s="172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">
      <c r="A289" s="179">
        <f>'Données projet'!A262</f>
        <v>0</v>
      </c>
      <c r="B289" s="180">
        <f>'Données projet'!D262</f>
        <v>0</v>
      </c>
      <c r="C289" s="192"/>
      <c r="D289" s="178">
        <f t="shared" si="14"/>
        <v>0</v>
      </c>
      <c r="E289" s="192"/>
      <c r="F289" s="231"/>
      <c r="G289" s="205"/>
      <c r="H289" s="4"/>
      <c r="I289" s="4"/>
      <c r="J289" s="4"/>
      <c r="K289" s="172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">
      <c r="A290" s="179">
        <f>'Données projet'!A263</f>
        <v>0</v>
      </c>
      <c r="B290" s="180">
        <f>'Données projet'!D263</f>
        <v>0</v>
      </c>
      <c r="C290" s="192"/>
      <c r="D290" s="178">
        <f t="shared" si="14"/>
        <v>0</v>
      </c>
      <c r="E290" s="192"/>
      <c r="F290" s="231"/>
      <c r="G290" s="205"/>
      <c r="H290" s="4"/>
      <c r="I290" s="4"/>
      <c r="J290" s="4"/>
      <c r="K290" s="172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">
      <c r="A291" s="4"/>
      <c r="B291" s="4"/>
      <c r="C291" s="4"/>
      <c r="D291" s="4"/>
      <c r="E291" s="4"/>
      <c r="F291" s="229"/>
      <c r="G291" s="205"/>
      <c r="H291" s="4"/>
      <c r="I291" s="4"/>
      <c r="J291" s="4"/>
      <c r="K291" s="172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">
      <c r="A292" s="4"/>
      <c r="B292" s="4"/>
      <c r="C292" s="4"/>
      <c r="D292" s="4"/>
      <c r="E292" s="4"/>
      <c r="F292" s="229"/>
      <c r="G292" s="205"/>
      <c r="H292" s="4"/>
      <c r="I292" s="4"/>
      <c r="J292" s="4"/>
      <c r="K292" s="172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">
      <c r="A293" s="46" t="s">
        <v>174</v>
      </c>
      <c r="B293" s="173" t="str">
        <f>IF('Données projet'!$B$18="","",'Données projet'!$B$18)</f>
        <v/>
      </c>
      <c r="C293" s="4"/>
      <c r="D293" s="4"/>
      <c r="E293" s="4"/>
      <c r="F293" s="229"/>
      <c r="G293" s="205"/>
      <c r="H293" s="4"/>
      <c r="I293" s="4"/>
      <c r="J293" s="4"/>
      <c r="K293" s="172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">
      <c r="A294" s="46"/>
      <c r="B294" s="4"/>
      <c r="C294" s="4"/>
      <c r="D294" s="4"/>
      <c r="E294" s="4"/>
      <c r="F294" s="229"/>
      <c r="G294" s="205"/>
      <c r="H294" s="4"/>
      <c r="I294" s="4"/>
      <c r="J294" s="4"/>
      <c r="K294" s="172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ht="16" x14ac:dyDescent="0.2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0"/>
      <c r="G295" s="205"/>
      <c r="H295" s="4"/>
      <c r="I295" s="4"/>
      <c r="J295" s="4"/>
      <c r="K295" s="172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ht="16" x14ac:dyDescent="0.2">
      <c r="A296" s="49">
        <v>0</v>
      </c>
      <c r="B296" s="198" t="s">
        <v>132</v>
      </c>
      <c r="C296" s="197" t="s">
        <v>132</v>
      </c>
      <c r="D296" s="196" t="s">
        <v>132</v>
      </c>
      <c r="E296" s="192"/>
      <c r="F296" s="230"/>
      <c r="G296" s="205"/>
      <c r="H296" s="4"/>
      <c r="I296" s="4"/>
      <c r="J296" s="4"/>
      <c r="K296" s="172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ht="16" x14ac:dyDescent="0.2">
      <c r="A297" s="49">
        <v>1</v>
      </c>
      <c r="B297" s="198" t="s">
        <v>132</v>
      </c>
      <c r="C297" s="197" t="s">
        <v>132</v>
      </c>
      <c r="D297" s="196" t="s">
        <v>132</v>
      </c>
      <c r="E297" s="192"/>
      <c r="F297" s="230"/>
      <c r="G297" s="23"/>
      <c r="H297" s="4"/>
      <c r="I297" s="4"/>
      <c r="J297" s="4"/>
      <c r="K297" s="172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ht="16" x14ac:dyDescent="0.2">
      <c r="A298" s="49">
        <v>2</v>
      </c>
      <c r="B298" s="198" t="s">
        <v>132</v>
      </c>
      <c r="C298" s="197" t="s">
        <v>132</v>
      </c>
      <c r="D298" s="196" t="s">
        <v>132</v>
      </c>
      <c r="E298" s="192"/>
      <c r="F298" s="230"/>
      <c r="G298" s="23"/>
      <c r="H298" s="4"/>
      <c r="I298" s="4"/>
      <c r="J298" s="4"/>
      <c r="K298" s="172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ht="16" x14ac:dyDescent="0.2">
      <c r="A299" s="49">
        <v>3</v>
      </c>
      <c r="B299" s="198" t="s">
        <v>132</v>
      </c>
      <c r="C299" s="197" t="s">
        <v>132</v>
      </c>
      <c r="D299" s="196" t="s">
        <v>132</v>
      </c>
      <c r="E299" s="192"/>
      <c r="F299" s="230"/>
      <c r="G299" s="23"/>
      <c r="H299" s="4"/>
      <c r="I299" s="4"/>
      <c r="J299" s="4"/>
      <c r="K299" s="172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ht="16" x14ac:dyDescent="0.2">
      <c r="A300" s="49">
        <v>4</v>
      </c>
      <c r="B300" s="198" t="s">
        <v>132</v>
      </c>
      <c r="C300" s="197" t="s">
        <v>132</v>
      </c>
      <c r="D300" s="196" t="s">
        <v>132</v>
      </c>
      <c r="E300" s="192"/>
      <c r="F300" s="230"/>
      <c r="G300" s="23"/>
      <c r="H300" s="4"/>
      <c r="I300" s="4"/>
      <c r="J300" s="4"/>
      <c r="K300" s="172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ht="16" x14ac:dyDescent="0.2">
      <c r="A301" s="49">
        <v>5</v>
      </c>
      <c r="B301" s="198" t="s">
        <v>132</v>
      </c>
      <c r="C301" s="197" t="s">
        <v>132</v>
      </c>
      <c r="D301" s="196" t="s">
        <v>132</v>
      </c>
      <c r="E301" s="192"/>
      <c r="F301" s="230"/>
      <c r="G301" s="204"/>
      <c r="H301" s="4"/>
      <c r="I301" s="4"/>
      <c r="J301" s="4"/>
      <c r="K301" s="172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">
      <c r="A302" s="179">
        <f>'Données projet'!A270</f>
        <v>0</v>
      </c>
      <c r="B302" s="180">
        <f>'Données projet'!D270</f>
        <v>0</v>
      </c>
      <c r="C302" s="190"/>
      <c r="D302" s="181">
        <f>B302*C302</f>
        <v>0</v>
      </c>
      <c r="E302" s="192"/>
      <c r="F302" s="232"/>
      <c r="G302" s="204"/>
      <c r="H302" s="4"/>
      <c r="I302" s="4"/>
      <c r="J302" s="4"/>
      <c r="K302" s="172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">
      <c r="A303" s="179">
        <f>'Données projet'!A271</f>
        <v>0</v>
      </c>
      <c r="B303" s="180">
        <f>'Données projet'!D271</f>
        <v>0</v>
      </c>
      <c r="C303" s="190"/>
      <c r="D303" s="181">
        <f t="shared" ref="D303:D321" si="15">B303*C303</f>
        <v>0</v>
      </c>
      <c r="E303" s="192"/>
      <c r="F303" s="232"/>
      <c r="G303" s="204"/>
      <c r="H303" s="4"/>
      <c r="I303" s="4"/>
      <c r="J303" s="4"/>
      <c r="K303" s="172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">
      <c r="A304" s="179">
        <f>'Données projet'!A272</f>
        <v>0</v>
      </c>
      <c r="B304" s="180">
        <f>'Données projet'!D272</f>
        <v>0</v>
      </c>
      <c r="C304" s="190"/>
      <c r="D304" s="181">
        <f t="shared" si="15"/>
        <v>0</v>
      </c>
      <c r="E304" s="192"/>
      <c r="F304" s="232"/>
      <c r="G304" s="204"/>
      <c r="H304" s="4"/>
      <c r="I304" s="4"/>
      <c r="J304" s="4"/>
      <c r="K304" s="172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">
      <c r="A305" s="179">
        <f>'Données projet'!A273</f>
        <v>0</v>
      </c>
      <c r="B305" s="180">
        <f>'Données projet'!D273</f>
        <v>0</v>
      </c>
      <c r="C305" s="190"/>
      <c r="D305" s="181">
        <f t="shared" si="15"/>
        <v>0</v>
      </c>
      <c r="E305" s="192"/>
      <c r="F305" s="232"/>
      <c r="G305" s="204"/>
      <c r="H305" s="4"/>
      <c r="I305" s="4"/>
      <c r="J305" s="4"/>
      <c r="K305" s="172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">
      <c r="A306" s="179">
        <f>'Données projet'!A274</f>
        <v>0</v>
      </c>
      <c r="B306" s="180">
        <f>'Données projet'!D274</f>
        <v>0</v>
      </c>
      <c r="C306" s="190"/>
      <c r="D306" s="181">
        <f t="shared" si="15"/>
        <v>0</v>
      </c>
      <c r="E306" s="192"/>
      <c r="F306" s="232"/>
      <c r="G306" s="204"/>
      <c r="H306" s="4"/>
      <c r="I306" s="4"/>
      <c r="J306" s="4"/>
      <c r="K306" s="172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">
      <c r="A307" s="179">
        <f>'Données projet'!A275</f>
        <v>0</v>
      </c>
      <c r="B307" s="180">
        <f>'Données projet'!D275</f>
        <v>0</v>
      </c>
      <c r="C307" s="190"/>
      <c r="D307" s="181">
        <f t="shared" si="15"/>
        <v>0</v>
      </c>
      <c r="E307" s="192"/>
      <c r="F307" s="232"/>
      <c r="G307" s="204"/>
      <c r="H307" s="4"/>
      <c r="I307" s="4"/>
      <c r="J307" s="4"/>
      <c r="K307" s="172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">
      <c r="A308" s="179">
        <f>'Données projet'!A276</f>
        <v>0</v>
      </c>
      <c r="B308" s="180">
        <f>'Données projet'!D276</f>
        <v>0</v>
      </c>
      <c r="C308" s="190"/>
      <c r="D308" s="181">
        <f t="shared" si="15"/>
        <v>0</v>
      </c>
      <c r="E308" s="192"/>
      <c r="F308" s="232"/>
      <c r="G308" s="202"/>
      <c r="H308" s="4"/>
      <c r="I308" s="4"/>
      <c r="J308" s="4"/>
      <c r="K308" s="172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">
      <c r="A309" s="179">
        <f>'Données projet'!A277</f>
        <v>0</v>
      </c>
      <c r="B309" s="180">
        <f>'Données projet'!D277</f>
        <v>0</v>
      </c>
      <c r="C309" s="190"/>
      <c r="D309" s="181">
        <f t="shared" si="15"/>
        <v>0</v>
      </c>
      <c r="E309" s="192"/>
      <c r="F309" s="232"/>
      <c r="G309" s="202"/>
      <c r="H309" s="4"/>
      <c r="I309" s="4"/>
      <c r="J309" s="4"/>
      <c r="K309" s="172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">
      <c r="A310" s="179">
        <f>'Données projet'!A278</f>
        <v>0</v>
      </c>
      <c r="B310" s="180">
        <f>'Données projet'!D278</f>
        <v>0</v>
      </c>
      <c r="C310" s="190"/>
      <c r="D310" s="181">
        <f t="shared" si="15"/>
        <v>0</v>
      </c>
      <c r="E310" s="192"/>
      <c r="F310" s="232"/>
      <c r="G310" s="202"/>
      <c r="H310" s="4"/>
      <c r="I310" s="4"/>
      <c r="J310" s="4"/>
      <c r="K310" s="172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">
      <c r="A311" s="179">
        <f>'Données projet'!A279</f>
        <v>0</v>
      </c>
      <c r="B311" s="180">
        <f>'Données projet'!D279</f>
        <v>0</v>
      </c>
      <c r="C311" s="190"/>
      <c r="D311" s="181">
        <f t="shared" si="15"/>
        <v>0</v>
      </c>
      <c r="E311" s="192"/>
      <c r="F311" s="232"/>
      <c r="G311" s="202"/>
      <c r="H311" s="4"/>
      <c r="I311" s="4"/>
      <c r="J311" s="4"/>
      <c r="K311" s="172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">
      <c r="A312" s="179">
        <f>'Données projet'!A280</f>
        <v>0</v>
      </c>
      <c r="B312" s="180">
        <f>'Données projet'!D280</f>
        <v>0</v>
      </c>
      <c r="C312" s="190"/>
      <c r="D312" s="181">
        <f t="shared" si="15"/>
        <v>0</v>
      </c>
      <c r="E312" s="192"/>
      <c r="F312" s="232"/>
      <c r="G312" s="202"/>
      <c r="H312" s="4"/>
      <c r="I312" s="4"/>
      <c r="J312" s="4"/>
      <c r="K312" s="172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">
      <c r="A313" s="179">
        <f>'Données projet'!A281</f>
        <v>0</v>
      </c>
      <c r="B313" s="180">
        <f>'Données projet'!D281</f>
        <v>0</v>
      </c>
      <c r="C313" s="190"/>
      <c r="D313" s="181">
        <f t="shared" si="15"/>
        <v>0</v>
      </c>
      <c r="E313" s="192"/>
      <c r="F313" s="232"/>
      <c r="G313" s="202"/>
      <c r="H313" s="4"/>
      <c r="I313" s="4"/>
      <c r="J313" s="4"/>
      <c r="K313" s="172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">
      <c r="A314" s="179">
        <f>'Données projet'!A282</f>
        <v>0</v>
      </c>
      <c r="B314" s="180">
        <f>'Données projet'!D282</f>
        <v>0</v>
      </c>
      <c r="C314" s="190"/>
      <c r="D314" s="181">
        <f t="shared" si="15"/>
        <v>0</v>
      </c>
      <c r="E314" s="192"/>
      <c r="F314" s="232"/>
      <c r="G314" s="202"/>
      <c r="H314" s="4"/>
      <c r="I314" s="4"/>
      <c r="J314" s="4"/>
      <c r="K314" s="172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">
      <c r="A315" s="179">
        <f>'Données projet'!A283</f>
        <v>0</v>
      </c>
      <c r="B315" s="180">
        <f>'Données projet'!D283</f>
        <v>0</v>
      </c>
      <c r="C315" s="190"/>
      <c r="D315" s="181">
        <f t="shared" si="15"/>
        <v>0</v>
      </c>
      <c r="E315" s="192"/>
      <c r="F315" s="232"/>
      <c r="G315" s="202"/>
      <c r="H315" s="4"/>
      <c r="I315" s="4"/>
      <c r="J315" s="4"/>
      <c r="K315" s="172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">
      <c r="A316" s="179">
        <f>'Données projet'!A284</f>
        <v>0</v>
      </c>
      <c r="B316" s="180">
        <f>'Données projet'!D284</f>
        <v>0</v>
      </c>
      <c r="C316" s="190"/>
      <c r="D316" s="181">
        <f t="shared" si="15"/>
        <v>0</v>
      </c>
      <c r="E316" s="192"/>
      <c r="F316" s="232"/>
      <c r="G316" s="202"/>
      <c r="H316" s="4"/>
      <c r="I316" s="4"/>
      <c r="J316" s="4"/>
      <c r="K316" s="172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">
      <c r="A317" s="179">
        <f>'Données projet'!A285</f>
        <v>0</v>
      </c>
      <c r="B317" s="180">
        <f>'Données projet'!D285</f>
        <v>0</v>
      </c>
      <c r="C317" s="190"/>
      <c r="D317" s="181">
        <f t="shared" si="15"/>
        <v>0</v>
      </c>
      <c r="E317" s="192"/>
      <c r="F317" s="232"/>
      <c r="G317" s="202"/>
      <c r="H317" s="4"/>
      <c r="I317" s="4"/>
      <c r="J317" s="4"/>
      <c r="K317" s="172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">
      <c r="A318" s="179">
        <f>'Données projet'!A286</f>
        <v>0</v>
      </c>
      <c r="B318" s="180">
        <f>'Données projet'!D286</f>
        <v>0</v>
      </c>
      <c r="C318" s="190"/>
      <c r="D318" s="181">
        <f t="shared" si="15"/>
        <v>0</v>
      </c>
      <c r="E318" s="192"/>
      <c r="F318" s="232"/>
      <c r="G318" s="202"/>
      <c r="H318" s="4"/>
      <c r="I318" s="4"/>
      <c r="J318" s="4"/>
      <c r="K318" s="172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">
      <c r="A319" s="179">
        <f>'Données projet'!A287</f>
        <v>0</v>
      </c>
      <c r="B319" s="180">
        <f>'Données projet'!D287</f>
        <v>0</v>
      </c>
      <c r="C319" s="190"/>
      <c r="D319" s="181">
        <f t="shared" si="15"/>
        <v>0</v>
      </c>
      <c r="E319" s="192"/>
      <c r="F319" s="232"/>
      <c r="G319" s="202"/>
      <c r="H319" s="4"/>
      <c r="I319" s="4"/>
      <c r="J319" s="4"/>
      <c r="K319" s="172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">
      <c r="A320" s="179">
        <f>'Données projet'!A288</f>
        <v>0</v>
      </c>
      <c r="B320" s="180">
        <f>'Données projet'!D288</f>
        <v>0</v>
      </c>
      <c r="C320" s="190"/>
      <c r="D320" s="181">
        <f t="shared" si="15"/>
        <v>0</v>
      </c>
      <c r="E320" s="192"/>
      <c r="F320" s="232"/>
      <c r="G320" s="202"/>
      <c r="H320" s="4"/>
      <c r="I320" s="4"/>
      <c r="J320" s="4"/>
      <c r="K320" s="172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">
      <c r="A321" s="179">
        <f>'Données projet'!A289</f>
        <v>0</v>
      </c>
      <c r="B321" s="180">
        <f>'Données projet'!D289</f>
        <v>0</v>
      </c>
      <c r="C321" s="195"/>
      <c r="D321" s="181">
        <f t="shared" si="15"/>
        <v>0</v>
      </c>
      <c r="E321" s="192"/>
      <c r="F321" s="232"/>
      <c r="G321" s="202"/>
      <c r="H321" s="4"/>
      <c r="I321" s="4"/>
      <c r="J321" s="4"/>
      <c r="K321" s="172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">
      <c r="G322" s="202"/>
      <c r="H322" s="4"/>
      <c r="I322" s="4"/>
      <c r="J322" s="4"/>
      <c r="K322" s="172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">
      <c r="G323" s="202"/>
      <c r="H323" s="4"/>
      <c r="I323" s="4"/>
      <c r="J323" s="4"/>
      <c r="K323" s="172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">
      <c r="G324" s="202"/>
      <c r="H324" s="4"/>
      <c r="I324" s="4"/>
      <c r="J324" s="4"/>
      <c r="K324" s="172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">
      <c r="G325" s="202"/>
      <c r="H325" s="4"/>
      <c r="I325" s="4"/>
      <c r="J325" s="4"/>
      <c r="K325" s="172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">
      <c r="G326" s="202"/>
      <c r="H326" s="4"/>
      <c r="I326" s="4"/>
      <c r="J326" s="4"/>
      <c r="K326" s="172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">
      <c r="G327" s="202"/>
      <c r="H327" s="4"/>
      <c r="I327" s="4"/>
      <c r="J327" s="4"/>
      <c r="K327" s="172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2023-08-08T15:05:20Z</dcterms:modified>
</cp:coreProperties>
</file>