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S:\Sylviculture &amp; Gestion\Clients\MARCQ\DOCUMENTS LBC\"/>
    </mc:Choice>
  </mc:AlternateContent>
  <xr:revisionPtr revIDLastSave="0" documentId="13_ncr:1_{47DFE781-B832-4FC1-976F-747CA2E1DF3A}" xr6:coauthVersionLast="47" xr6:coauthVersionMax="47" xr10:uidLastSave="{00000000-0000-0000-0000-000000000000}"/>
  <bookViews>
    <workbookView xWindow="-30828" yWindow="-12" windowWidth="30936" windowHeight="1689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5" i="1" l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A18" i="2"/>
  <c r="EV18" i="2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EV20" i="2"/>
  <c r="EW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FS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CM35" i="2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EA43" i="2"/>
  <c r="HI43" i="2"/>
  <c r="EX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EB57" i="2" s="1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EV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B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HH85" i="2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EW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FS113" i="2"/>
  <c r="EX113" i="2"/>
  <c r="HG113" i="2"/>
  <c r="EB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FS124" i="2"/>
  <c r="EW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FS130" i="2"/>
  <c r="HI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EA144" i="2"/>
  <c r="EB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FR146" i="2"/>
  <c r="HG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G150" i="2"/>
  <c r="EV150" i="2"/>
  <c r="HH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EX156" i="2"/>
  <c r="FS156" i="2"/>
  <c r="A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EW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DG160" i="2"/>
  <c r="HH160" i="2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HG163" i="2"/>
  <c r="EB163" i="2"/>
  <c r="EA163" i="2"/>
  <c r="EV163" i="2"/>
  <c r="EY163" i="2" s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X164" i="2" l="1"/>
  <c r="DH164" i="2"/>
  <c r="FS164" i="2"/>
  <c r="EV164" i="2"/>
  <c r="DI163" i="2"/>
  <c r="EA164" i="2"/>
  <c r="HH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EC167" i="2"/>
  <c r="FR167" i="2"/>
  <c r="DG167" i="2"/>
  <c r="EA167" i="2"/>
  <c r="HH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V168" i="2"/>
  <c r="EB168" i="2"/>
  <c r="DI167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B169" i="2"/>
  <c r="HH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HJ172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HI175" i="2" l="1"/>
  <c r="EA175" i="2"/>
  <c r="AA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Q177" i="2"/>
  <c r="HH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FQ178" i="2"/>
  <c r="HH178" i="2"/>
  <c r="FS178" i="2"/>
  <c r="HG178" i="2"/>
  <c r="EA178" i="2"/>
  <c r="ED178" i="2" s="1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H179" i="2"/>
  <c r="HI179" i="2"/>
  <c r="DF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G185" i="2" l="1"/>
  <c r="EA185" i="2"/>
  <c r="EV185" i="2"/>
  <c r="EB185" i="2"/>
  <c r="HH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HH186" i="2"/>
  <c r="FR186" i="2"/>
  <c r="HG186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I188" i="2"/>
  <c r="HH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HH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B192" i="2"/>
  <c r="EW192" i="2"/>
  <c r="HG192" i="2"/>
  <c r="EA192" i="2"/>
  <c r="EV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4" i="2" s="1"/>
  <c r="HI194" i="2"/>
  <c r="FQ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X195" i="2"/>
  <c r="HI195" i="2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EC197" i="2"/>
  <c r="HG197" i="2"/>
  <c r="AA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H199" i="2"/>
  <c r="EV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FS201" i="2" l="1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EW202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104" i="2" a="1"/>
  <c r="FY104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06" i="2" a="1"/>
  <c r="EI106" i="2" s="1"/>
  <c r="EI29" i="2" a="1"/>
  <c r="EI29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41" i="2" a="1"/>
  <c r="DN41" i="2" s="1"/>
  <c r="DN29" i="2" a="1"/>
  <c r="DN29" i="2" s="1"/>
  <c r="DN152" i="2" a="1"/>
  <c r="DN152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14" i="2" a="1"/>
  <c r="DN114" i="2" s="1"/>
  <c r="CS77" i="2" a="1"/>
  <c r="CS77" i="2" s="1"/>
  <c r="AH19" i="2" a="1"/>
  <c r="AH19" i="2" s="1"/>
  <c r="AH163" i="2" a="1"/>
  <c r="AH163" i="2" s="1"/>
  <c r="CS161" i="2" a="1"/>
  <c r="CS161" i="2" s="1"/>
  <c r="CS105" i="2" a="1"/>
  <c r="CS105" i="2" s="1"/>
  <c r="CS38" i="2" a="1"/>
  <c r="CS38" i="2" s="1"/>
  <c r="FY182" i="2" a="1"/>
  <c r="FY182" i="2" s="1"/>
  <c r="FY121" i="2" a="1"/>
  <c r="FY121" i="2" s="1"/>
  <c r="FD43" i="2" a="1"/>
  <c r="FD43" i="2" s="1"/>
  <c r="FD194" i="2" a="1"/>
  <c r="FD194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71" i="2" a="1"/>
  <c r="EI71" i="2" s="1"/>
  <c r="EI165" i="2" a="1"/>
  <c r="EI165" i="2" s="1"/>
  <c r="EI67" i="2" a="1"/>
  <c r="EI67" i="2" s="1"/>
  <c r="EI139" i="2" a="1"/>
  <c r="EI139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62" i="2" l="1" a="1"/>
  <c r="AH62" i="2" s="1"/>
  <c r="AH90" i="2" a="1"/>
  <c r="AH90" i="2" s="1"/>
  <c r="EI57" i="2" a="1"/>
  <c r="EI57" i="2" s="1"/>
  <c r="EI153" i="2" a="1"/>
  <c r="EI153" i="2" s="1"/>
  <c r="EI16" i="2" a="1"/>
  <c r="EI16" i="2" s="1"/>
  <c r="EI36" i="2" a="1"/>
  <c r="EI36" i="2" s="1"/>
  <c r="DN43" i="2" a="1"/>
  <c r="DN43" i="2" s="1"/>
  <c r="EI142" i="2" a="1"/>
  <c r="EI142" i="2" s="1"/>
  <c r="EI166" i="2" a="1"/>
  <c r="EI166" i="2" s="1"/>
  <c r="FR203" i="2"/>
  <c r="EI113" i="2" a="1"/>
  <c r="EI113" i="2" s="1"/>
  <c r="EI87" i="2" a="1"/>
  <c r="EI87" i="2" s="1"/>
  <c r="DN103" i="2" a="1"/>
  <c r="DN103" i="2" s="1"/>
  <c r="DN66" i="2" a="1"/>
  <c r="DN66" i="2" s="1"/>
  <c r="DN50" i="2" a="1"/>
  <c r="DN50" i="2" s="1"/>
  <c r="DN186" i="2" a="1"/>
  <c r="DN186" i="2" s="1"/>
  <c r="EI178" i="2" a="1"/>
  <c r="EI178" i="2" s="1"/>
  <c r="EI198" i="2" a="1"/>
  <c r="EI198" i="2" s="1"/>
  <c r="FY190" i="2" a="1"/>
  <c r="FY190" i="2" s="1"/>
  <c r="EI170" i="2" a="1"/>
  <c r="EI170" i="2" s="1"/>
  <c r="EI128" i="2" a="1"/>
  <c r="EI128" i="2" s="1"/>
  <c r="EI109" i="2" a="1"/>
  <c r="EI109" i="2" s="1"/>
  <c r="DN188" i="2" a="1"/>
  <c r="DN188" i="2" s="1"/>
  <c r="DN113" i="2" a="1"/>
  <c r="DN113" i="2" s="1"/>
  <c r="DN137" i="2" a="1"/>
  <c r="DN137" i="2" s="1"/>
  <c r="EI145" i="2" a="1"/>
  <c r="EI145" i="2" s="1"/>
  <c r="AH92" i="2" a="1"/>
  <c r="AH92" i="2" s="1"/>
  <c r="EI37" i="2" a="1"/>
  <c r="EI37" i="2" s="1"/>
  <c r="EI20" i="2" a="1"/>
  <c r="EI20" i="2" s="1"/>
  <c r="EI38" i="2" a="1"/>
  <c r="EI38" i="2" s="1"/>
  <c r="DN63" i="2" a="1"/>
  <c r="DN63" i="2" s="1"/>
  <c r="DN86" i="2" a="1"/>
  <c r="DN86" i="2" s="1"/>
  <c r="DN25" i="2" a="1"/>
  <c r="DN25" i="2" s="1"/>
  <c r="EI162" i="2" a="1"/>
  <c r="EI162" i="2" s="1"/>
  <c r="HH203" i="2"/>
  <c r="EI35" i="2" a="1"/>
  <c r="EI35" i="2" s="1"/>
  <c r="EI34" i="2" a="1"/>
  <c r="EI34" i="2" s="1"/>
  <c r="DN184" i="2" a="1"/>
  <c r="DN184" i="2" s="1"/>
  <c r="EI150" i="2" a="1"/>
  <c r="EI150" i="2" s="1"/>
  <c r="FD19" i="2" a="1"/>
  <c r="FD19" i="2" s="1"/>
  <c r="FD64" i="2" a="1"/>
  <c r="FD64" i="2" s="1"/>
  <c r="FY167" i="2" a="1"/>
  <c r="FY167" i="2" s="1"/>
  <c r="FY115" i="2" a="1"/>
  <c r="FY115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D160" i="2" a="1"/>
  <c r="FD160" i="2" s="1"/>
  <c r="FD189" i="2" a="1"/>
  <c r="FD189" i="2" s="1"/>
  <c r="FY142" i="2" a="1"/>
  <c r="FY142" i="2" s="1"/>
  <c r="FY86" i="2" a="1"/>
  <c r="FY86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37" i="2" a="1"/>
  <c r="FD137" i="2" s="1"/>
  <c r="FD14" i="2" a="1"/>
  <c r="FD14" i="2" s="1"/>
  <c r="FY80" i="2" a="1"/>
  <c r="FY80" i="2" s="1"/>
  <c r="FY58" i="2" a="1"/>
  <c r="FY5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59" i="2" a="1"/>
  <c r="FD159" i="2" s="1"/>
  <c r="FD48" i="2" a="1"/>
  <c r="FD48" i="2" s="1"/>
  <c r="FY30" i="2" a="1"/>
  <c r="FY30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D107" i="2" a="1"/>
  <c r="FD107" i="2" s="1"/>
  <c r="FD44" i="2" a="1"/>
  <c r="FD44" i="2" s="1"/>
  <c r="FY42" i="2" a="1"/>
  <c r="FY4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167" i="2" a="1"/>
  <c r="FD167" i="2" s="1"/>
  <c r="FD188" i="2" a="1"/>
  <c r="FD188" i="2" s="1"/>
  <c r="FY196" i="2" a="1"/>
  <c r="FY196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87" i="2" a="1"/>
  <c r="FD187" i="2" s="1"/>
  <c r="FD131" i="2" a="1"/>
  <c r="FD131" i="2" s="1"/>
  <c r="FD60" i="2" a="1"/>
  <c r="FD60" i="2" s="1"/>
  <c r="FY82" i="2" a="1"/>
  <c r="FY82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C82" i="2" a="1"/>
  <c r="BC82" i="2" s="1"/>
  <c r="BC18" i="2" a="1"/>
  <c r="BC18" i="2" s="1"/>
  <c r="BC84" i="2" a="1"/>
  <c r="BC84" i="2" s="1"/>
  <c r="BC38" i="2" a="1"/>
  <c r="BC38" i="2" s="1"/>
  <c r="BC68" i="2" a="1"/>
  <c r="BC68" i="2" s="1"/>
  <c r="BC117" i="2" a="1"/>
  <c r="BC117" i="2" s="1"/>
  <c r="BC55" i="2" a="1"/>
  <c r="BC55" i="2" s="1"/>
  <c r="BC181" i="2" a="1"/>
  <c r="BC181" i="2" s="1"/>
  <c r="BC34" i="2" a="1"/>
  <c r="BC34" i="2" s="1"/>
  <c r="BC32" i="2" a="1"/>
  <c r="BC32" i="2" s="1"/>
  <c r="BC164" i="2" a="1"/>
  <c r="BC164" i="2" s="1"/>
  <c r="BC192" i="2" a="1"/>
  <c r="BC192" i="2" s="1"/>
  <c r="BC185" i="2" a="1"/>
  <c r="BC185" i="2" s="1"/>
  <c r="BC130" i="2" a="1"/>
  <c r="BC130" i="2" s="1"/>
  <c r="BC65" i="2" a="1"/>
  <c r="BC65" i="2" s="1"/>
  <c r="BC47" i="2" a="1"/>
  <c r="BC47" i="2" s="1"/>
  <c r="BC58" i="2" a="1"/>
  <c r="BC58" i="2" s="1"/>
  <c r="BC143" i="2" a="1"/>
  <c r="BC143" i="2" s="1"/>
  <c r="BC114" i="2" a="1"/>
  <c r="BC114" i="2" s="1"/>
  <c r="BC83" i="2" a="1"/>
  <c r="BC83" i="2" s="1"/>
  <c r="BC151" i="2" a="1"/>
  <c r="BC151" i="2" s="1"/>
  <c r="BC7" i="2" a="1"/>
  <c r="BC7" i="2" s="1"/>
  <c r="BC31" i="2" a="1"/>
  <c r="BC31" i="2" s="1"/>
  <c r="BC126" i="2" a="1"/>
  <c r="BC126" i="2" s="1"/>
  <c r="AH199" i="2" a="1"/>
  <c r="AH199" i="2" s="1"/>
  <c r="AH166" i="2" a="1"/>
  <c r="AH166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0" i="2" l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<sst xmlns="http://schemas.openxmlformats.org/spreadsheetml/2006/main" count="1171" uniqueCount="325">
  <si>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</si>
  <si>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</si>
  <si>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</si>
  <si>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</si>
  <si>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</si>
  <si>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</si>
  <si>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</si>
  <si>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</si>
  <si>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</si>
  <si>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</si>
  <si>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</si>
  <si>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</si>
  <si>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</si>
  <si>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</si>
  <si>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</si>
  <si>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</si>
  <si>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</si>
  <si>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</si>
  <si>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</si>
  <si>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</si>
  <si>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</si>
  <si>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</si>
  <si>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</si>
  <si>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</si>
  <si>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</si>
  <si>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</si>
  <si>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</si>
  <si>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</si>
  <si>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</si>
  <si>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</si>
  <si>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</si>
  <si>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</si>
  <si>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</si>
  <si>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</si>
  <si>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</si>
  <si>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</si>
  <si>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</si>
  <si>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</si>
  <si>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</si>
  <si>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</si>
  <si>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</si>
  <si>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</si>
  <si>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</si>
  <si>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</si>
  <si>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</si>
  <si>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</si>
  <si>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</si>
  <si>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</si>
  <si>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</si>
  <si>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</si>
  <si>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</si>
  <si>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</si>
  <si>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</si>
  <si>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</si>
  <si>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</si>
  <si>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</si>
  <si>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</si>
  <si>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</si>
  <si>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</si>
  <si>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</si>
  <si>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</si>
  <si>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</si>
  <si>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</si>
  <si>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</si>
  <si>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</si>
  <si>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</si>
  <si>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</si>
  <si>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</si>
  <si>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</si>
  <si>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</si>
  <si>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</si>
  <si>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</si>
  <si>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</si>
  <si>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</si>
  <si>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</si>
  <si>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</si>
  <si>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</si>
  <si>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</si>
  <si>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</si>
  <si>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</si>
  <si>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</si>
  <si>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</si>
  <si>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</si>
  <si>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</si>
  <si>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</si>
  <si>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</si>
  <si>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</si>
  <si>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</si>
  <si>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</si>
  <si>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</si>
  <si>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</si>
  <si>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</si>
  <si>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</si>
  <si>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</si>
  <si>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</si>
  <si>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</si>
  <si>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</si>
  <si>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</si>
  <si>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</si>
  <si>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</si>
  <si>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</si>
  <si>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</si>
  <si>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</si>
  <si>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</si>
  <si>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</si>
  <si>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</si>
  <si>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</si>
  <si>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</si>
  <si>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</si>
  <si>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</si>
  <si>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</si>
  <si>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</si>
  <si>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</si>
  <si>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</si>
  <si>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</si>
  <si>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</si>
  <si>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</si>
  <si>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</si>
  <si>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</si>
  <si>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</si>
  <si>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</si>
  <si>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</si>
  <si>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</si>
  <si>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</si>
  <si>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</si>
  <si>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</si>
  <si>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</si>
  <si>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</si>
  <si>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</si>
  <si>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</si>
  <si>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</si>
  <si>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</si>
  <si>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</si>
  <si>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</si>
  <si>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</si>
  <si>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</si>
  <si>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</si>
  <si>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</si>
  <si>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</si>
  <si>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</si>
  <si>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</si>
  <si>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</si>
  <si>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</si>
  <si>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</si>
  <si>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</si>
  <si>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</si>
  <si>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</si>
  <si>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</si>
  <si>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</si>
  <si>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</si>
  <si>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</si>
  <si>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</si>
  <si>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</si>
  <si>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</si>
  <si>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</si>
  <si>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</si>
  <si>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</si>
  <si>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</si>
  <si>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</si>
  <si>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</si>
  <si>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</si>
  <si>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</si>
  <si>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</si>
  <si>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</si>
  <si>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</si>
  <si>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</si>
  <si>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</si>
  <si>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</si>
  <si>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</si>
  <si>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</si>
  <si>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</si>
  <si>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</si>
  <si>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</si>
  <si>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</si>
  <si>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</si>
  <si>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</si>
  <si>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</si>
  <si>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</si>
  <si>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</si>
  <si>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</si>
  <si>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</si>
  <si>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</si>
  <si>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</si>
  <si>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</si>
  <si>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</si>
  <si>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</si>
  <si>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</si>
  <si>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</si>
  <si>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</si>
  <si>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</si>
  <si>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</si>
  <si>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</si>
  <si>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</si>
  <si>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</si>
  <si>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</si>
  <si>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</si>
  <si>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</si>
  <si>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</si>
  <si>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</si>
  <si>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</si>
  <si>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</si>
  <si>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</si>
  <si>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</si>
  <si>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</si>
  <si>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</si>
  <si>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</si>
  <si>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</si>
  <si>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</si>
  <si>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</si>
  <si>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</si>
  <si>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</si>
  <si>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</si>
  <si>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</si>
  <si>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</si>
  <si>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</si>
  <si>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</si>
  <si>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</si>
  <si>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</si>
  <si>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</si>
  <si>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</si>
  <si>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</si>
  <si>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</si>
  <si>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</si>
  <si>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</si>
  <si>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</si>
  <si>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</si>
  <si>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</si>
  <si>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</si>
  <si>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</si>
  <si>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</si>
  <si>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</si>
  <si>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</si>
  <si>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</si>
  <si>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</si>
  <si>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</si>
  <si>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</si>
  <si>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</si>
  <si>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</si>
  <si>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</si>
  <si>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</si>
  <si>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</si>
  <si>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</si>
  <si>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</si>
  <si>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</si>
  <si>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</si>
  <si>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</si>
  <si>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</si>
  <si>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</si>
  <si>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</si>
  <si>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</si>
  <si>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</si>
  <si>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</si>
  <si>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</si>
  <si>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</si>
  <si>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</si>
  <si>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</si>
  <si>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</si>
  <si>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</si>
  <si>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</si>
  <si>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</si>
  <si>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</si>
  <si>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</si>
  <si>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</si>
  <si>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</si>
  <si>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</si>
  <si>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</si>
  <si>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</si>
  <si>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</si>
  <si>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</si>
  <si>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</si>
  <si>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</si>
  <si>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</si>
  <si>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</si>
  <si>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</si>
  <si>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</si>
  <si>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</si>
  <si>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</si>
  <si>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</si>
  <si>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</si>
  <si>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</si>
  <si>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</si>
  <si>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</si>
  <si>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</si>
  <si>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</si>
  <si>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</si>
  <si>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</si>
  <si>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</si>
  <si>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</si>
  <si>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</si>
  <si>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</si>
  <si>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</si>
  <si>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</si>
  <si>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</si>
  <si>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</si>
  <si>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</si>
  <si>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</si>
  <si>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</si>
  <si>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</si>
  <si>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</si>
  <si>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</si>
  <si>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</si>
  <si>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</si>
  <si>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</si>
  <si>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</si>
  <si>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</si>
  <si>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</si>
  <si>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</si>
  <si>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</si>
  <si>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</si>
  <si>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</si>
  <si>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</si>
  <si>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</si>
  <si>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</si>
  <si>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</si>
  <si>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</si>
  <si>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</si>
  <si>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</si>
  <si>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</si>
  <si>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</si>
  <si>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</si>
  <si>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</si>
  <si>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</si>
  <si>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</si>
  <si>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</si>
  <si>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Pin Maritime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</si>
</sst>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277.55782610520754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349.34307000856893</c:v>
                </c:pt>
                <c:pt idx="33">
                  <c:v>373.19561882188333</c:v>
                </c:pt>
                <c:pt idx="34">
                  <c:v>397.01495135221603</c:v>
                </c:pt>
                <c:pt idx="35">
                  <c:v>339.57504464240793</c:v>
                </c:pt>
                <c:pt idx="36">
                  <c:v>358.53102961352914</c:v>
                </c:pt>
                <c:pt idx="37">
                  <c:v>377.46509105219985</c:v>
                </c:pt>
                <c:pt idx="38">
                  <c:v>396.37848290096719</c:v>
                </c:pt>
                <c:pt idx="39">
                  <c:v>415.27232971683725</c:v>
                </c:pt>
                <c:pt idx="40">
                  <c:v>434.14764542220843</c:v>
                </c:pt>
                <c:pt idx="41">
                  <c:v>404.84171743812567</c:v>
                </c:pt>
                <c:pt idx="42">
                  <c:v>418.89627246995241</c:v>
                </c:pt>
                <c:pt idx="43">
                  <c:v>432.94067027087971</c:v>
                </c:pt>
                <c:pt idx="44">
                  <c:v>446.97528670607403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457.25709576545188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485.03169075090005</c:v>
                </c:pt>
                <c:pt idx="51">
                  <c:v>494.28227935737863</c:v>
                </c:pt>
                <c:pt idx="52">
                  <c:v>503.52919939265206</c:v>
                </c:pt>
                <c:pt idx="53">
                  <c:v>512.77252773883436</c:v>
                </c:pt>
                <c:pt idx="54">
                  <c:v>522.01233827972067</c:v>
                </c:pt>
                <c:pt idx="55">
                  <c:v>503.82998023383271</c:v>
                </c:pt>
                <c:pt idx="56">
                  <c:v>507.67647479696649</c:v>
                </c:pt>
                <c:pt idx="57">
                  <c:v>511.5223533462472</c:v>
                </c:pt>
                <c:pt idx="58">
                  <c:v>515.3676211703862</c:v>
                </c:pt>
                <c:pt idx="59">
                  <c:v>519.21228347267368</c:v>
                </c:pt>
                <c:pt idx="60">
                  <c:v>523.05634537299522</c:v>
                </c:pt>
                <c:pt idx="61">
                  <c:v>526.89981190978597</c:v>
                </c:pt>
                <c:pt idx="62">
                  <c:v>530.74268804192297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2.5822836422111366</c:v>
                </c:pt>
                <c:pt idx="2">
                  <c:v>3.0918035815284672</c:v>
                </c:pt>
                <c:pt idx="3">
                  <c:v>3.7022337622707653</c:v>
                </c:pt>
                <c:pt idx="4">
                  <c:v>4.4336295362791462</c:v>
                </c:pt>
                <c:pt idx="5">
                  <c:v>5.3100452071463202</c:v>
                </c:pt>
                <c:pt idx="6">
                  <c:v>6.3603338288932347</c:v>
                </c:pt>
                <c:pt idx="7">
                  <c:v>7.6191074146970825</c:v>
                </c:pt>
                <c:pt idx="8">
                  <c:v>9.127889810760573</c:v>
                </c:pt>
                <c:pt idx="9">
                  <c:v>10.93650099145758</c:v>
                </c:pt>
                <c:pt idx="10">
                  <c:v>13.104719346021051</c:v>
                </c:pt>
                <c:pt idx="11">
                  <c:v>15.70427791998471</c:v>
                </c:pt>
                <c:pt idx="12">
                  <c:v>18.82126186594877</c:v>
                </c:pt>
                <c:pt idx="13">
                  <c:v>22.558987932416557</c:v>
                </c:pt>
                <c:pt idx="14">
                  <c:v>27.041463138816312</c:v>
                </c:pt>
                <c:pt idx="15">
                  <c:v>32.417539405558351</c:v>
                </c:pt>
                <c:pt idx="16">
                  <c:v>38.865904499125939</c:v>
                </c:pt>
                <c:pt idx="17">
                  <c:v>46.601078018602493</c:v>
                </c:pt>
                <c:pt idx="18">
                  <c:v>55.880615259949991</c:v>
                </c:pt>
                <c:pt idx="19">
                  <c:v>67.013762812651535</c:v>
                </c:pt>
                <c:pt idx="20">
                  <c:v>80.371859071508723</c:v>
                </c:pt>
                <c:pt idx="21">
                  <c:v>92.265209143481741</c:v>
                </c:pt>
                <c:pt idx="22">
                  <c:v>104.12020472208822</c:v>
                </c:pt>
                <c:pt idx="23">
                  <c:v>115.94183686676679</c:v>
                </c:pt>
                <c:pt idx="24">
                  <c:v>127.73399203044187</c:v>
                </c:pt>
                <c:pt idx="25">
                  <c:v>139.49977841647276</c:v>
                </c:pt>
                <c:pt idx="26">
                  <c:v>151.24173586581261</c:v>
                </c:pt>
                <c:pt idx="27">
                  <c:v>162.96197686279694</c:v>
                </c:pt>
                <c:pt idx="28">
                  <c:v>174.66228470426776</c:v>
                </c:pt>
                <c:pt idx="29">
                  <c:v>186.34418390633073</c:v>
                </c:pt>
                <c:pt idx="30">
                  <c:v>198.00899198585157</c:v>
                </c:pt>
                <c:pt idx="31">
                  <c:v>159.85080028445509</c:v>
                </c:pt>
                <c:pt idx="32">
                  <c:v>174.66228470426776</c:v>
                </c:pt>
                <c:pt idx="33">
                  <c:v>189.44426549567962</c:v>
                </c:pt>
                <c:pt idx="34">
                  <c:v>204.1993699951656</c:v>
                </c:pt>
                <c:pt idx="35">
                  <c:v>218.92981441202707</c:v>
                </c:pt>
                <c:pt idx="36">
                  <c:v>233.6374921030274</c:v>
                </c:pt>
                <c:pt idx="37">
                  <c:v>248.3240384098076</c:v>
                </c:pt>
                <c:pt idx="38">
                  <c:v>262.99087932895549</c:v>
                </c:pt>
                <c:pt idx="39">
                  <c:v>277.63926874165162</c:v>
                </c:pt>
                <c:pt idx="40">
                  <c:v>292.27031736625912</c:v>
                </c:pt>
                <c:pt idx="41">
                  <c:v>231.45994723108006</c:v>
                </c:pt>
                <c:pt idx="42">
                  <c:v>246.6931975124088</c:v>
                </c:pt>
                <c:pt idx="43">
                  <c:v>261.90509392198987</c:v>
                </c:pt>
                <c:pt idx="44">
                  <c:v>277.09705149048028</c:v>
                </c:pt>
                <c:pt idx="45">
                  <c:v>292.27031736625912</c:v>
                </c:pt>
                <c:pt idx="46">
                  <c:v>307.42599859997205</c:v>
                </c:pt>
                <c:pt idx="47">
                  <c:v>322.56508415919421</c:v>
                </c:pt>
                <c:pt idx="48">
                  <c:v>337.68846259148233</c:v>
                </c:pt>
                <c:pt idx="49">
                  <c:v>352.79693635630588</c:v>
                </c:pt>
                <c:pt idx="50">
                  <c:v>367.89123357271291</c:v>
                </c:pt>
                <c:pt idx="51">
                  <c:v>306.16367195933753</c:v>
                </c:pt>
                <c:pt idx="52">
                  <c:v>320.04301686645294</c:v>
                </c:pt>
                <c:pt idx="53">
                  <c:v>333.90904528918696</c:v>
                </c:pt>
                <c:pt idx="54">
                  <c:v>347.76238814787047</c:v>
                </c:pt>
                <c:pt idx="55">
                  <c:v>361.60362198777563</c:v>
                </c:pt>
                <c:pt idx="56">
                  <c:v>375.43327561120145</c:v>
                </c:pt>
                <c:pt idx="57">
                  <c:v>389.25183568109605</c:v>
                </c:pt>
                <c:pt idx="58">
                  <c:v>403.05975148729181</c:v>
                </c:pt>
                <c:pt idx="59">
                  <c:v>416.85743902546983</c:v>
                </c:pt>
                <c:pt idx="60">
                  <c:v>430.6452845078822</c:v>
                </c:pt>
                <c:pt idx="61">
                  <c:v>367.89123357271268</c:v>
                </c:pt>
                <c:pt idx="62">
                  <c:v>380.4594657084852</c:v>
                </c:pt>
                <c:pt idx="63">
                  <c:v>393.01866845402532</c:v>
                </c:pt>
                <c:pt idx="64">
                  <c:v>405.56917103469459</c:v>
                </c:pt>
                <c:pt idx="65">
                  <c:v>418.11128063558311</c:v>
                </c:pt>
                <c:pt idx="66">
                  <c:v>430.6452845078822</c:v>
                </c:pt>
                <c:pt idx="67">
                  <c:v>443.17145181723453</c:v>
                </c:pt>
                <c:pt idx="68">
                  <c:v>455.69003527221344</c:v>
                </c:pt>
                <c:pt idx="69">
                  <c:v>468.20127256453446</c:v>
                </c:pt>
                <c:pt idx="70">
                  <c:v>480.70538764731191</c:v>
                </c:pt>
                <c:pt idx="71">
                  <c:v>416.6783121635213</c:v>
                </c:pt>
                <c:pt idx="72">
                  <c:v>427.78106967818303</c:v>
                </c:pt>
                <c:pt idx="73">
                  <c:v>438.87763264294853</c:v>
                </c:pt>
                <c:pt idx="74">
                  <c:v>449.96817978008784</c:v>
                </c:pt>
                <c:pt idx="75">
                  <c:v>461.05288028198453</c:v>
                </c:pt>
                <c:pt idx="76">
                  <c:v>472.13189454107578</c:v>
                </c:pt>
                <c:pt idx="77">
                  <c:v>483.20537480770639</c:v>
                </c:pt>
                <c:pt idx="78">
                  <c:v>494.27346578454058</c:v>
                </c:pt>
                <c:pt idx="79">
                  <c:v>505.33630516496095</c:v>
                </c:pt>
                <c:pt idx="80">
                  <c:v>516.39402412186962</c:v>
                </c:pt>
                <c:pt idx="81">
                  <c:v>451.21996795767285</c:v>
                </c:pt>
                <c:pt idx="82">
                  <c:v>461.05288028198441</c:v>
                </c:pt>
                <c:pt idx="83">
                  <c:v>470.88131798414474</c:v>
                </c:pt>
                <c:pt idx="84">
                  <c:v>480.70538764731185</c:v>
                </c:pt>
                <c:pt idx="85">
                  <c:v>490.52519114205143</c:v>
                </c:pt>
                <c:pt idx="86">
                  <c:v>500.34082592690061</c:v>
                </c:pt>
                <c:pt idx="87">
                  <c:v>510.1523853241153</c:v>
                </c:pt>
                <c:pt idx="88">
                  <c:v>519.95995877310168</c:v>
                </c:pt>
                <c:pt idx="89">
                  <c:v>529.76363206373026</c:v>
                </c:pt>
                <c:pt idx="90">
                  <c:v>539.56348755148122</c:v>
                </c:pt>
                <c:pt idx="91">
                  <c:v>472.84647803416016</c:v>
                </c:pt>
                <c:pt idx="92">
                  <c:v>481.06254555420998</c:v>
                </c:pt>
                <c:pt idx="93">
                  <c:v>489.27563148073045</c:v>
                </c:pt>
                <c:pt idx="94">
                  <c:v>497.4857929384936</c:v>
                </c:pt>
                <c:pt idx="95">
                  <c:v>505.69308501237543</c:v>
                </c:pt>
                <c:pt idx="96">
                  <c:v>513.89756085284444</c:v>
                </c:pt>
                <c:pt idx="97">
                  <c:v>522.09927177435884</c:v>
                </c:pt>
                <c:pt idx="98">
                  <c:v>530.298267347261</c:v>
                </c:pt>
                <c:pt idx="99">
                  <c:v>538.49459548369111</c:v>
                </c:pt>
                <c:pt idx="100">
                  <c:v>546.68830251799852</c:v>
                </c:pt>
                <c:pt idx="101">
                  <c:v>479.99105490653511</c:v>
                </c:pt>
                <c:pt idx="102">
                  <c:v>488.20452645212413</c:v>
                </c:pt>
                <c:pt idx="103">
                  <c:v>496.41506619592155</c:v>
                </c:pt>
                <c:pt idx="104">
                  <c:v>504.62272948273682</c:v>
                </c:pt>
                <c:pt idx="105">
                  <c:v>512.82756970962635</c:v>
                </c:pt>
                <c:pt idx="106">
                  <c:v>521.02963842518295</c:v>
                </c:pt>
                <c:pt idx="107">
                  <c:v>529.22898542224755</c:v>
                </c:pt>
                <c:pt idx="108">
                  <c:v>537.42565882457427</c:v>
                </c:pt>
                <c:pt idx="109">
                  <c:v>545.61970516793428</c:v>
                </c:pt>
                <c:pt idx="110">
                  <c:v>553.81116947609291</c:v>
                </c:pt>
                <c:pt idx="111">
                  <c:v>490.88219577778813</c:v>
                </c:pt>
                <c:pt idx="112">
                  <c:v>497.48579293849394</c:v>
                </c:pt>
                <c:pt idx="113">
                  <c:v>504.08753371514609</c:v>
                </c:pt>
                <c:pt idx="114">
                  <c:v>510.68744586077736</c:v>
                </c:pt>
                <c:pt idx="115">
                  <c:v>517.28555635223483</c:v>
                </c:pt>
                <c:pt idx="116">
                  <c:v>523.88189142172894</c:v>
                </c:pt>
                <c:pt idx="117">
                  <c:v>530.47647658671019</c:v>
                </c:pt>
                <c:pt idx="118">
                  <c:v>537.06933667818305</c:v>
                </c:pt>
                <c:pt idx="119">
                  <c:v>543.66049586755673</c:v>
                </c:pt>
                <c:pt idx="120">
                  <c:v>550.24997769212507</c:v>
                </c:pt>
                <c:pt idx="121">
                  <c:v>493.55955531546368</c:v>
                </c:pt>
                <c:pt idx="122">
                  <c:v>499.27022909127572</c:v>
                </c:pt>
                <c:pt idx="123">
                  <c:v>504.97951998984882</c:v>
                </c:pt>
                <c:pt idx="124">
                  <c:v>510.68744586077713</c:v>
                </c:pt>
                <c:pt idx="125">
                  <c:v>516.39402412187019</c:v>
                </c:pt>
                <c:pt idx="126">
                  <c:v>522.09927177435895</c:v>
                </c:pt>
                <c:pt idx="127">
                  <c:v>527.80320541740377</c:v>
                </c:pt>
                <c:pt idx="128">
                  <c:v>533.50584126194053</c:v>
                </c:pt>
                <c:pt idx="129">
                  <c:v>539.20719514390646</c:v>
                </c:pt>
                <c:pt idx="130">
                  <c:v>544.90728253687359</c:v>
                </c:pt>
                <c:pt idx="131">
                  <c:v>494.63041282058947</c:v>
                </c:pt>
                <c:pt idx="132">
                  <c:v>499.62710009899473</c:v>
                </c:pt>
                <c:pt idx="133">
                  <c:v>504.62272948273682</c:v>
                </c:pt>
                <c:pt idx="134">
                  <c:v>509.61731292933638</c:v>
                </c:pt>
                <c:pt idx="135">
                  <c:v>514.61086214265572</c:v>
                </c:pt>
                <c:pt idx="136">
                  <c:v>519.60338858074317</c:v>
                </c:pt>
                <c:pt idx="137">
                  <c:v>524.59490346336099</c:v>
                </c:pt>
                <c:pt idx="138">
                  <c:v>529.5854177792113</c:v>
                </c:pt>
                <c:pt idx="139">
                  <c:v>534.57494229287556</c:v>
                </c:pt>
                <c:pt idx="140">
                  <c:v>539.5634875514819</c:v>
                </c:pt>
                <c:pt idx="141">
                  <c:v>495.52275653457463</c:v>
                </c:pt>
                <c:pt idx="142">
                  <c:v>499.62710009899484</c:v>
                </c:pt>
                <c:pt idx="143">
                  <c:v>503.73072985917651</c:v>
                </c:pt>
                <c:pt idx="144">
                  <c:v>507.83365245521736</c:v>
                </c:pt>
                <c:pt idx="145">
                  <c:v>511.93587441108474</c:v>
                </c:pt>
                <c:pt idx="146">
                  <c:v>516.03740213758022</c:v>
                </c:pt>
                <c:pt idx="147">
                  <c:v>520.13824193520838</c:v>
                </c:pt>
                <c:pt idx="148">
                  <c:v>524.2383999969469</c:v>
                </c:pt>
                <c:pt idx="149">
                  <c:v>528.33788241092873</c:v>
                </c:pt>
                <c:pt idx="150">
                  <c:v>532.43669516303351</c:v>
                </c:pt>
                <c:pt idx="151">
                  <c:v>4.9800425780855959E-12</c:v>
                </c:pt>
                <c:pt idx="152">
                  <c:v>4.9800425780855959E-12</c:v>
                </c:pt>
                <c:pt idx="153">
                  <c:v>4.9800425780855959E-12</c:v>
                </c:pt>
                <c:pt idx="154">
                  <c:v>4.9800425780855959E-12</c:v>
                </c:pt>
                <c:pt idx="155">
                  <c:v>4.9800425780855959E-12</c:v>
                </c:pt>
                <c:pt idx="156">
                  <c:v>4.9800425780855959E-12</c:v>
                </c:pt>
                <c:pt idx="157">
                  <c:v>4.9800425780855959E-12</c:v>
                </c:pt>
                <c:pt idx="158">
                  <c:v>4.9800425780855959E-12</c:v>
                </c:pt>
                <c:pt idx="159">
                  <c:v>4.9800425780855959E-12</c:v>
                </c:pt>
                <c:pt idx="160">
                  <c:v>4.9800425780855959E-12</c:v>
                </c:pt>
                <c:pt idx="161">
                  <c:v>4.9800425780855959E-12</c:v>
                </c:pt>
                <c:pt idx="162">
                  <c:v>4.9800425780855959E-12</c:v>
                </c:pt>
                <c:pt idx="163">
                  <c:v>4.9800425780855959E-12</c:v>
                </c:pt>
                <c:pt idx="164">
                  <c:v>4.9800425780855959E-12</c:v>
                </c:pt>
                <c:pt idx="165">
                  <c:v>4.9800425780855959E-12</c:v>
                </c:pt>
                <c:pt idx="166">
                  <c:v>4.9800425780855959E-12</c:v>
                </c:pt>
                <c:pt idx="167">
                  <c:v>4.9800425780855959E-12</c:v>
                </c:pt>
                <c:pt idx="168">
                  <c:v>4.9800425780855959E-12</c:v>
                </c:pt>
                <c:pt idx="169">
                  <c:v>4.9800425780855959E-12</c:v>
                </c:pt>
                <c:pt idx="170">
                  <c:v>4.9800425780855959E-12</c:v>
                </c:pt>
                <c:pt idx="171">
                  <c:v>4.9800425780855959E-12</c:v>
                </c:pt>
                <c:pt idx="172">
                  <c:v>4.9800425780855959E-12</c:v>
                </c:pt>
                <c:pt idx="173">
                  <c:v>4.9800425780855959E-12</c:v>
                </c:pt>
                <c:pt idx="174">
                  <c:v>4.9800425780855959E-12</c:v>
                </c:pt>
                <c:pt idx="175">
                  <c:v>4.9800425780855959E-12</c:v>
                </c:pt>
                <c:pt idx="176">
                  <c:v>4.9800425780855959E-12</c:v>
                </c:pt>
                <c:pt idx="177">
                  <c:v>4.9800425780855959E-12</c:v>
                </c:pt>
                <c:pt idx="178">
                  <c:v>4.9800425780855959E-12</c:v>
                </c:pt>
                <c:pt idx="179">
                  <c:v>4.9800425780855959E-12</c:v>
                </c:pt>
                <c:pt idx="180">
                  <c:v>4.9800425780855959E-12</c:v>
                </c:pt>
                <c:pt idx="181">
                  <c:v>4.9800425780855959E-12</c:v>
                </c:pt>
                <c:pt idx="182">
                  <c:v>4.9800425780855959E-12</c:v>
                </c:pt>
                <c:pt idx="183">
                  <c:v>4.9800425780855959E-12</c:v>
                </c:pt>
                <c:pt idx="184">
                  <c:v>4.9800425780855959E-12</c:v>
                </c:pt>
                <c:pt idx="185">
                  <c:v>4.9800425780855959E-12</c:v>
                </c:pt>
                <c:pt idx="186">
                  <c:v>4.9800425780855959E-12</c:v>
                </c:pt>
                <c:pt idx="187">
                  <c:v>4.9800425780855959E-12</c:v>
                </c:pt>
                <c:pt idx="188">
                  <c:v>4.9800425780855959E-12</c:v>
                </c:pt>
                <c:pt idx="189">
                  <c:v>4.9800425780855959E-12</c:v>
                </c:pt>
                <c:pt idx="190">
                  <c:v>4.9800425780855959E-12</c:v>
                </c:pt>
                <c:pt idx="191">
                  <c:v>4.9800425780855959E-12</c:v>
                </c:pt>
                <c:pt idx="192">
                  <c:v>4.9800425780855959E-12</c:v>
                </c:pt>
                <c:pt idx="193">
                  <c:v>4.9800425780855959E-12</c:v>
                </c:pt>
                <c:pt idx="194">
                  <c:v>4.9800425780855959E-12</c:v>
                </c:pt>
                <c:pt idx="195">
                  <c:v>4.9800425780855959E-12</c:v>
                </c:pt>
                <c:pt idx="196">
                  <c:v>4.9800425780855959E-12</c:v>
                </c:pt>
                <c:pt idx="197">
                  <c:v>4.9800425780855959E-12</c:v>
                </c:pt>
                <c:pt idx="198">
                  <c:v>4.9800425780855959E-12</c:v>
                </c:pt>
                <c:pt idx="199">
                  <c:v>4.9800425780855959E-12</c:v>
                </c:pt>
                <c:pt idx="200">
                  <c:v>4.9800425780855959E-12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opLeftCell="A43" zoomScale="80" zoomScaleNormal="80" workbookViewId="0">
      <selection activeCell="T73" sqref="T7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6.6184000000000003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324</v>
      </c>
      <c r="C9" s="32">
        <v>0.95</v>
      </c>
      <c r="D9" s="33">
        <f t="shared" ref="D9:D18" si="0">C9*$C$5</f>
        <v>6.2874800000000004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11</v>
      </c>
      <c r="C10" s="32">
        <v>0.05</v>
      </c>
      <c r="D10" s="33">
        <f t="shared" si="0"/>
        <v>0.33092000000000005</v>
      </c>
      <c r="E10" s="34">
        <v>150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6.6184000000000003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12</v>
      </c>
      <c r="B36" s="60">
        <v>46.2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3.85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16</v>
      </c>
      <c r="B37" s="60">
        <v>107.5</v>
      </c>
      <c r="C37" s="60">
        <v>2</v>
      </c>
      <c r="D37" s="60">
        <v>25</v>
      </c>
      <c r="E37" s="51"/>
      <c r="F37" s="51"/>
      <c r="G37" s="51">
        <v>0.5</v>
      </c>
      <c r="H37" s="51">
        <v>0.5</v>
      </c>
      <c r="I37" s="53">
        <f t="shared" ref="I37:I55" si="1">IF(A37&lt;&gt;0,(B37-(B36-D36))/(A37-A36),"")</f>
        <v>15.324999999999999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20</v>
      </c>
      <c r="B38" s="60">
        <v>151.30000000000001</v>
      </c>
      <c r="C38" s="60">
        <v>3</v>
      </c>
      <c r="D38" s="60">
        <v>33.700000000000003</v>
      </c>
      <c r="E38" s="51">
        <v>0.2</v>
      </c>
      <c r="F38" s="51"/>
      <c r="G38" s="51">
        <v>0.6</v>
      </c>
      <c r="H38" s="51">
        <v>0.2</v>
      </c>
      <c r="I38" s="53">
        <f t="shared" si="1"/>
        <v>17.200000000000003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24</v>
      </c>
      <c r="B39" s="60">
        <v>197.2</v>
      </c>
      <c r="C39" s="60">
        <v>4</v>
      </c>
      <c r="D39" s="60">
        <v>42.9</v>
      </c>
      <c r="E39" s="51">
        <v>0.3</v>
      </c>
      <c r="F39" s="51"/>
      <c r="G39" s="51">
        <v>0.5</v>
      </c>
      <c r="H39" s="51">
        <v>0.2</v>
      </c>
      <c r="I39" s="49">
        <f t="shared" si="1"/>
        <v>19.899999999999995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28</v>
      </c>
      <c r="B40" s="60">
        <v>233.8</v>
      </c>
      <c r="C40" s="60">
        <v>5</v>
      </c>
      <c r="D40" s="60">
        <v>41.4</v>
      </c>
      <c r="E40" s="51">
        <v>0.5</v>
      </c>
      <c r="F40" s="51"/>
      <c r="G40" s="51">
        <v>0.4</v>
      </c>
      <c r="H40" s="51">
        <v>0.1</v>
      </c>
      <c r="I40" s="49">
        <f t="shared" si="1"/>
        <v>19.875000000000007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34</v>
      </c>
      <c r="B41" s="60">
        <v>304.60000000000002</v>
      </c>
      <c r="C41" s="60">
        <v>6</v>
      </c>
      <c r="D41" s="60">
        <v>59.9</v>
      </c>
      <c r="E41" s="51">
        <v>0.7</v>
      </c>
      <c r="F41" s="51"/>
      <c r="G41" s="51">
        <v>0.2</v>
      </c>
      <c r="H41" s="51">
        <v>0.1</v>
      </c>
      <c r="I41" s="53">
        <f t="shared" si="1"/>
        <v>18.700000000000003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40</v>
      </c>
      <c r="B42" s="60">
        <v>333.8</v>
      </c>
      <c r="C42" s="60">
        <v>7</v>
      </c>
      <c r="D42" s="60">
        <v>34.1</v>
      </c>
      <c r="E42" s="51"/>
      <c r="F42" s="51"/>
      <c r="G42" s="51"/>
      <c r="H42" s="51"/>
      <c r="I42" s="53">
        <f t="shared" si="1"/>
        <v>14.85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46</v>
      </c>
      <c r="B43" s="60">
        <v>366</v>
      </c>
      <c r="C43" s="60">
        <v>8</v>
      </c>
      <c r="D43" s="60">
        <v>21.3</v>
      </c>
      <c r="E43" s="51"/>
      <c r="F43" s="51"/>
      <c r="G43" s="51"/>
      <c r="H43" s="51"/>
      <c r="I43" s="49">
        <f t="shared" si="1"/>
        <v>11.050000000000002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54</v>
      </c>
      <c r="B44" s="60">
        <v>403.1</v>
      </c>
      <c r="C44" s="60">
        <v>9</v>
      </c>
      <c r="D44" s="60">
        <v>17.399999999999999</v>
      </c>
      <c r="E44" s="51"/>
      <c r="F44" s="51"/>
      <c r="G44" s="51"/>
      <c r="H44" s="51"/>
      <c r="I44" s="49">
        <f t="shared" si="1"/>
        <v>7.3000000000000043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62</v>
      </c>
      <c r="B45" s="60">
        <v>410</v>
      </c>
      <c r="C45" s="60">
        <v>10</v>
      </c>
      <c r="D45" s="60">
        <v>410</v>
      </c>
      <c r="E45" s="51"/>
      <c r="F45" s="51"/>
      <c r="G45" s="51"/>
      <c r="H45" s="51"/>
      <c r="I45" s="49">
        <f t="shared" si="1"/>
        <v>3.0374999999999943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pédonculé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42</v>
      </c>
      <c r="C62" s="60">
        <v>1</v>
      </c>
      <c r="D62" s="60">
        <v>0</v>
      </c>
      <c r="E62" s="51"/>
      <c r="F62" s="51"/>
      <c r="G62" s="51"/>
      <c r="H62" s="51">
        <v>1</v>
      </c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f>106-SUM(D62)</f>
        <v>106</v>
      </c>
      <c r="C63" s="60">
        <v>2</v>
      </c>
      <c r="D63" s="60">
        <v>29</v>
      </c>
      <c r="E63" s="51"/>
      <c r="F63" s="51"/>
      <c r="G63" s="51"/>
      <c r="H63" s="51">
        <v>1</v>
      </c>
      <c r="I63" s="49">
        <f>IF(A63&lt;&gt;0,(B63-(B62-D62))/(A63-A62),"")</f>
        <v>6.4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f>187-SUM(D62:D63)</f>
        <v>158</v>
      </c>
      <c r="C64" s="60">
        <v>3</v>
      </c>
      <c r="D64" s="60">
        <v>42</v>
      </c>
      <c r="E64" s="51"/>
      <c r="F64" s="51"/>
      <c r="G64" s="51"/>
      <c r="H64" s="51">
        <v>1</v>
      </c>
      <c r="I64" s="49">
        <f>IF(A64&lt;&gt;0,(B64-(B63-D63))/(A64-A63),"")</f>
        <v>8.1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f>271-SUM(D62:D64)</f>
        <v>200</v>
      </c>
      <c r="C65" s="60">
        <v>4</v>
      </c>
      <c r="D65" s="60">
        <v>42</v>
      </c>
      <c r="E65" s="51">
        <v>1</v>
      </c>
      <c r="F65" s="51"/>
      <c r="G65" s="51"/>
      <c r="H65" s="51"/>
      <c r="I65" s="49">
        <f>IF(A65&lt;&gt;0,(B65-(B64-D64))/(A65-A64),"")</f>
        <v>8.4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f>348-SUM(D62:D65)</f>
        <v>235</v>
      </c>
      <c r="C66" s="60">
        <v>5</v>
      </c>
      <c r="D66" s="60">
        <v>42</v>
      </c>
      <c r="E66" s="51"/>
      <c r="F66" s="51"/>
      <c r="G66" s="51"/>
      <c r="H66" s="51"/>
      <c r="I66" s="49">
        <f t="shared" ref="I66:I81" si="2">IF(A66&lt;&gt;0,(B66-(B65-D65))/(A66-A65),"")</f>
        <v>7.7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f>418-SUM(D62:D66)</f>
        <v>263</v>
      </c>
      <c r="C67" s="60">
        <v>6</v>
      </c>
      <c r="D67" s="60">
        <v>42</v>
      </c>
      <c r="E67" s="51">
        <v>1</v>
      </c>
      <c r="F67" s="51"/>
      <c r="G67" s="51"/>
      <c r="H67" s="51"/>
      <c r="I67" s="49">
        <f t="shared" si="2"/>
        <v>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f>480-SUM(D62:D67)</f>
        <v>283</v>
      </c>
      <c r="C68" s="60">
        <v>7</v>
      </c>
      <c r="D68" s="60">
        <v>42</v>
      </c>
      <c r="E68" s="51"/>
      <c r="F68" s="51"/>
      <c r="G68" s="51"/>
      <c r="H68" s="51"/>
      <c r="I68" s="49">
        <f t="shared" si="2"/>
        <v>6.2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90</v>
      </c>
      <c r="B69" s="50">
        <f>535-SUM(D62:D68)</f>
        <v>296</v>
      </c>
      <c r="C69" s="50">
        <v>8</v>
      </c>
      <c r="D69" s="50">
        <v>42</v>
      </c>
      <c r="E69" s="51">
        <v>1</v>
      </c>
      <c r="F69" s="51"/>
      <c r="G69" s="51"/>
      <c r="H69" s="51"/>
      <c r="I69" s="49">
        <f t="shared" si="2"/>
        <v>5.5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100</v>
      </c>
      <c r="B70" s="50">
        <f>581-SUM(D62:D69)</f>
        <v>300</v>
      </c>
      <c r="C70" s="50">
        <v>9</v>
      </c>
      <c r="D70" s="50">
        <v>42</v>
      </c>
      <c r="E70" s="51"/>
      <c r="F70" s="51"/>
      <c r="G70" s="51"/>
      <c r="H70" s="51"/>
      <c r="I70" s="49">
        <f t="shared" si="2"/>
        <v>4.5999999999999996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110</v>
      </c>
      <c r="B71" s="50">
        <f>627-SUM(D62:D70)</f>
        <v>304</v>
      </c>
      <c r="C71" s="50">
        <v>10</v>
      </c>
      <c r="D71" s="50">
        <v>39</v>
      </c>
      <c r="E71" s="51">
        <v>1</v>
      </c>
      <c r="F71" s="51"/>
      <c r="G71" s="51"/>
      <c r="H71" s="51"/>
      <c r="I71" s="49">
        <f t="shared" si="2"/>
        <v>4.5999999999999996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120</v>
      </c>
      <c r="B72" s="50">
        <f>664-SUM(D62:D71)</f>
        <v>302</v>
      </c>
      <c r="C72" s="50">
        <v>11</v>
      </c>
      <c r="D72" s="50">
        <v>35</v>
      </c>
      <c r="E72" s="51"/>
      <c r="F72" s="51"/>
      <c r="G72" s="51"/>
      <c r="H72" s="51"/>
      <c r="I72" s="49">
        <f t="shared" si="2"/>
        <v>3.7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130</v>
      </c>
      <c r="B73" s="50">
        <f>696-SUM(D62:D72)</f>
        <v>299</v>
      </c>
      <c r="C73" s="50">
        <v>12</v>
      </c>
      <c r="D73" s="50">
        <v>31</v>
      </c>
      <c r="E73" s="51">
        <v>1</v>
      </c>
      <c r="F73" s="51"/>
      <c r="G73" s="51"/>
      <c r="H73" s="51"/>
      <c r="I73" s="49">
        <f t="shared" si="2"/>
        <v>3.2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140</v>
      </c>
      <c r="B74" s="50">
        <f>724-SUM(D62:D73)</f>
        <v>296</v>
      </c>
      <c r="C74" s="50">
        <v>13</v>
      </c>
      <c r="D74" s="50">
        <v>27</v>
      </c>
      <c r="E74" s="51"/>
      <c r="F74" s="51"/>
      <c r="G74" s="51"/>
      <c r="H74" s="51"/>
      <c r="I74" s="49">
        <f t="shared" si="2"/>
        <v>2.8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150</v>
      </c>
      <c r="B75" s="50">
        <f>747-SUM(D62:D74)</f>
        <v>292</v>
      </c>
      <c r="C75" s="50">
        <v>14</v>
      </c>
      <c r="D75" s="50">
        <f>B75</f>
        <v>292</v>
      </c>
      <c r="E75" s="51">
        <v>1</v>
      </c>
      <c r="F75" s="51"/>
      <c r="G75" s="51"/>
      <c r="H75" s="51"/>
      <c r="I75" s="49">
        <f t="shared" si="2"/>
        <v>2.2999999999999998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>IF(A90&lt;&gt;0,(B90-(B89-D89))/(A90-A89),"")</f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ref="I91:I107" si="3">IF(A91&lt;&gt;0,(B91-(B90-D90))/(A91-A90),"")</f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8" scale="16" orientation="landscape" r:id="rId1"/>
  <rowBreaks count="2" manualBreakCount="2">
    <brk id="55" max="16383" man="1"/>
    <brk id="107" max="16383" man="1"/>
  </rowBreaks>
  <colBreaks count="1" manualBreakCount="1">
    <brk id="9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C23" sqref="C23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pédonculé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252.28378247570731</v>
      </c>
      <c r="T3" s="59">
        <f>IF('Données projet'!E9&gt;30,$R$33-$H$33,LOOKUP('Données projet'!$E$9,$A$3:$A$203,R3:R203)-LOOKUP('Données projet'!$E$9,$A$3:$A$203,$H$3:$H$203))</f>
        <v>263.50418595307343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276.71735592065937</v>
      </c>
      <c r="AO3" s="59">
        <f>IF('Données projet'!E10&gt;30,$AM$33-$H$33,LOOKUP('Données projet'!$E$10,$A$3:$A$203,AM3:AM203)-LOOKUP('Données projet'!$E$10,$A$3:$A$203,$H$3:$H$203))</f>
        <v>159.98571289571038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3.85</v>
      </c>
      <c r="N4" s="13">
        <f>IF('Données projet'!$A$36&gt;35,N3+M4-V3,IF(A4&lt;'Données projet'!$A$36,$K$205^A4,IF(A4='Données projet'!$A$36,'Données projet'!$B$36,N3+M4-V3)))</f>
        <v>1.3763223570336161</v>
      </c>
      <c r="O4" s="13">
        <f>N4*VLOOKUP('Données projet'!$B$9,Paramètres!$A$1:$I$89,3,0)*VLOOKUP('Données projet'!$B$9,Paramètres!$A$1:$I$89,5,0)</f>
        <v>0.82304076950610239</v>
      </c>
      <c r="P4" s="13">
        <f>EXP(-1.0587+0.8836*LN(O4)+0.284)</f>
        <v>0.38798806692284393</v>
      </c>
      <c r="Q4" s="20">
        <f t="shared" ref="Q4:Q34" si="2">(O4+P4)*0.475*44/12</f>
        <v>2.1092085567804149</v>
      </c>
      <c r="R4" s="59">
        <f t="shared" si="0"/>
        <v>295.44254189011372</v>
      </c>
      <c r="S4" s="59">
        <f ca="1">AVERAGE(OFFSET($R$3,0,0,'Données projet'!$E$9+1,1))-AVERAGE(OFFSET($H$3,0,0,'Données projet'!$E$9+1,1))</f>
        <v>252.28378247570731</v>
      </c>
      <c r="T4" s="59">
        <f>$T$3</f>
        <v>263.50418595307343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1.0155020926567102</v>
      </c>
      <c r="AK4" s="13">
        <f>EXP(-1.0587+0.8836*LN(AJ4)+0.284)</f>
        <v>0.46714880239274614</v>
      </c>
      <c r="AL4" s="20">
        <f t="shared" ref="AL4:AL67" si="4">(AJ4+AK4)*0.475*44/12</f>
        <v>2.5822836422111366</v>
      </c>
      <c r="AM4" s="59">
        <f t="shared" ref="AM4:AM67" si="5">AL4+(AD4+AE4)*44/12</f>
        <v>295.91561697554442</v>
      </c>
      <c r="AN4" s="59">
        <f ca="1">AVERAGE(OFFSET($AM$3,0,0,'Données projet'!$E$10+1,1))-AVERAGE(OFFSET($H$3,0,0,'Données projet'!$E$10+1,1))</f>
        <v>276.71735592065937</v>
      </c>
      <c r="AO4" s="59">
        <f>$AO$3</f>
        <v>159.98571289571038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3.85</v>
      </c>
      <c r="N5" s="13">
        <f>IF('Données projet'!$A$36&gt;35,N4+M5-V4,IF(A5&lt;'Données projet'!$A$36,$K$205^A5,IF(A5='Données projet'!$A$36,'Données projet'!$B$36,N4+M5-V4)))</f>
        <v>1.8942632304705684</v>
      </c>
      <c r="O5" s="13">
        <f>N5*VLOOKUP('Données projet'!$B$9,Paramètres!$A$1:$I$89,3,0)*VLOOKUP('Données projet'!$B$9,Paramètres!$A$1:$I$89,5,0)</f>
        <v>1.1327694118214</v>
      </c>
      <c r="P5" s="13">
        <f t="shared" ref="P5:P68" si="33">EXP(-1.0587+0.8836*LN(O5)+0.284)</f>
        <v>0.51450725843982192</v>
      </c>
      <c r="Q5" s="20">
        <f t="shared" si="2"/>
        <v>2.8690068673716276</v>
      </c>
      <c r="R5" s="59">
        <f t="shared" si="0"/>
        <v>296.20234020070495</v>
      </c>
      <c r="S5" s="59">
        <f ca="1">AVERAGE(OFFSET($R$3,0,0,'Données projet'!$E$9+1,1))-AVERAGE(OFFSET($H$3,0,0,'Données projet'!$E$9+1,1))</f>
        <v>252.28378247570731</v>
      </c>
      <c r="T5" s="59">
        <f t="shared" ref="T5:T68" si="34">$T$3</f>
        <v>263.50418595307343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1.2241743829417828</v>
      </c>
      <c r="AK5" s="13">
        <f t="shared" ref="AK5:AK68" si="35">EXP(-1.0587+0.8836*LN(AJ5)+0.284)</f>
        <v>0.55102384568700224</v>
      </c>
      <c r="AL5" s="20">
        <f t="shared" si="4"/>
        <v>3.0918035815284672</v>
      </c>
      <c r="AM5" s="59">
        <f t="shared" si="5"/>
        <v>296.42513691486181</v>
      </c>
      <c r="AN5" s="59">
        <f ca="1">AVERAGE(OFFSET($AM$3,0,0,'Données projet'!$E$10+1,1))-AVERAGE(OFFSET($H$3,0,0,'Données projet'!$E$10+1,1))</f>
        <v>276.71735592065937</v>
      </c>
      <c r="AO5" s="59">
        <f t="shared" ref="AO5:AO68" si="36">$AO$3</f>
        <v>159.98571289571038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3.85</v>
      </c>
      <c r="N6" s="13">
        <f>IF('Données projet'!$A$36&gt;35,N5+M6-V5,IF(A6&lt;'Données projet'!$A$36,$K$205^A6,IF(A6='Données projet'!$A$36,'Données projet'!$B$36,N5+M6-V5)))</f>
        <v>2.6071168342033646</v>
      </c>
      <c r="O6" s="13">
        <f>N6*VLOOKUP('Données projet'!$B$9,Paramètres!$A$1:$I$89,3,0)*VLOOKUP('Données projet'!$B$9,Paramètres!$A$1:$I$89,5,0)</f>
        <v>1.5590558668536121</v>
      </c>
      <c r="P6" s="13">
        <f t="shared" si="33"/>
        <v>0.68228314619764829</v>
      </c>
      <c r="Q6" s="20">
        <f t="shared" si="2"/>
        <v>3.9036654477309445</v>
      </c>
      <c r="R6" s="59">
        <f t="shared" si="0"/>
        <v>297.23699878106424</v>
      </c>
      <c r="S6" s="59">
        <f ca="1">AVERAGE(OFFSET($R$3,0,0,'Données projet'!$E$9+1,1))-AVERAGE(OFFSET($H$3,0,0,'Données projet'!$E$9+1,1))</f>
        <v>252.28378247570731</v>
      </c>
      <c r="T6" s="59">
        <f t="shared" si="34"/>
        <v>263.50418595307343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1.4757260774621526</v>
      </c>
      <c r="AK6" s="13">
        <f t="shared" si="35"/>
        <v>0.64995837934402878</v>
      </c>
      <c r="AL6" s="20">
        <f t="shared" si="4"/>
        <v>3.7022337622707653</v>
      </c>
      <c r="AM6" s="59">
        <f t="shared" si="5"/>
        <v>297.03556709560405</v>
      </c>
      <c r="AN6" s="59">
        <f ca="1">AVERAGE(OFFSET($AM$3,0,0,'Données projet'!$E$10+1,1))-AVERAGE(OFFSET($H$3,0,0,'Données projet'!$E$10+1,1))</f>
        <v>276.71735592065937</v>
      </c>
      <c r="AO6" s="59">
        <f t="shared" si="36"/>
        <v>159.98571289571038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3.85</v>
      </c>
      <c r="N7" s="13">
        <f>IF('Données projet'!$A$36&gt;35,N6+M7-V6,IF(A7&lt;'Données projet'!$A$36,$K$205^A7,IF(A7='Données projet'!$A$36,'Données projet'!$B$36,N6+M7-V6)))</f>
        <v>3.5882331863127939</v>
      </c>
      <c r="O7" s="13">
        <f>N7*VLOOKUP('Données projet'!$B$9,Paramètres!$A$1:$I$89,3,0)*VLOOKUP('Données projet'!$B$9,Paramètres!$A$1:$I$89,5,0)</f>
        <v>2.1457634454150507</v>
      </c>
      <c r="P7" s="13">
        <f t="shared" si="33"/>
        <v>0.90476914358207983</v>
      </c>
      <c r="Q7" s="20">
        <f t="shared" si="2"/>
        <v>5.3130109258366689</v>
      </c>
      <c r="R7" s="59">
        <f t="shared" si="0"/>
        <v>298.64634425917001</v>
      </c>
      <c r="S7" s="59">
        <f ca="1">AVERAGE(OFFSET($R$3,0,0,'Données projet'!$E$9+1,1))-AVERAGE(OFFSET($H$3,0,0,'Données projet'!$E$9+1,1))</f>
        <v>252.28378247570731</v>
      </c>
      <c r="T7" s="59">
        <f t="shared" si="34"/>
        <v>263.50418595307343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1.7789683284079942</v>
      </c>
      <c r="AK7" s="13">
        <f t="shared" si="35"/>
        <v>0.76665628572357314</v>
      </c>
      <c r="AL7" s="20">
        <f t="shared" si="4"/>
        <v>4.4336295362791462</v>
      </c>
      <c r="AM7" s="59">
        <f t="shared" si="5"/>
        <v>297.76696286961248</v>
      </c>
      <c r="AN7" s="59">
        <f ca="1">AVERAGE(OFFSET($AM$3,0,0,'Données projet'!$E$10+1,1))-AVERAGE(OFFSET($H$3,0,0,'Données projet'!$E$10+1,1))</f>
        <v>276.71735592065937</v>
      </c>
      <c r="AO7" s="59">
        <f t="shared" si="36"/>
        <v>159.98571289571038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3.85</v>
      </c>
      <c r="N8" s="13">
        <f>IF('Données projet'!$A$36&gt;35,N7+M8-V7,IF(A8&lt;'Données projet'!$A$36,$K$205^A8,IF(A8='Données projet'!$A$36,'Données projet'!$B$36,N7+M8-V7)))</f>
        <v>4.938565556572267</v>
      </c>
      <c r="O8" s="13">
        <f>N8*VLOOKUP('Données projet'!$B$9,Paramètres!$A$1:$I$89,3,0)*VLOOKUP('Données projet'!$B$9,Paramètres!$A$1:$I$89,5,0)</f>
        <v>2.9532622028302162</v>
      </c>
      <c r="P8" s="13">
        <f t="shared" si="33"/>
        <v>1.1998056931939969</v>
      </c>
      <c r="Q8" s="20">
        <f t="shared" si="2"/>
        <v>7.2332599189088382</v>
      </c>
      <c r="R8" s="59">
        <f t="shared" si="0"/>
        <v>300.56659325224217</v>
      </c>
      <c r="S8" s="59">
        <f ca="1">AVERAGE(OFFSET($R$3,0,0,'Données projet'!$E$9+1,1))-AVERAGE(OFFSET($H$3,0,0,'Données projet'!$E$9+1,1))</f>
        <v>252.28378247570731</v>
      </c>
      <c r="T8" s="59">
        <f t="shared" si="34"/>
        <v>263.50418595307343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2.1445228635663907</v>
      </c>
      <c r="AK8" s="13">
        <f t="shared" si="35"/>
        <v>0.90430692044106609</v>
      </c>
      <c r="AL8" s="20">
        <f t="shared" si="4"/>
        <v>5.3100452071463202</v>
      </c>
      <c r="AM8" s="59">
        <f t="shared" si="5"/>
        <v>298.64337854047966</v>
      </c>
      <c r="AN8" s="59">
        <f ca="1">AVERAGE(OFFSET($AM$3,0,0,'Données projet'!$E$10+1,1))-AVERAGE(OFFSET($H$3,0,0,'Données projet'!$E$10+1,1))</f>
        <v>276.71735592065937</v>
      </c>
      <c r="AO8" s="59">
        <f t="shared" si="36"/>
        <v>159.98571289571038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3.85</v>
      </c>
      <c r="N9" s="13">
        <f>IF('Données projet'!$A$36&gt;35,N8+M9-V8,IF(A9&lt;'Données projet'!$A$36,$K$205^A9,IF(A9='Données projet'!$A$36,'Données projet'!$B$36,N8+M9-V8)))</f>
        <v>6.7970581871865736</v>
      </c>
      <c r="O9" s="13">
        <f>N9*VLOOKUP('Données projet'!$B$9,Paramètres!$A$1:$I$89,3,0)*VLOOKUP('Données projet'!$B$9,Paramètres!$A$1:$I$89,5,0)</f>
        <v>4.0646407959375717</v>
      </c>
      <c r="P9" s="13">
        <f t="shared" si="33"/>
        <v>1.5910508350466677</v>
      </c>
      <c r="Q9" s="20">
        <f t="shared" si="2"/>
        <v>9.8503295906308832</v>
      </c>
      <c r="R9" s="59">
        <f t="shared" si="0"/>
        <v>303.18366292396422</v>
      </c>
      <c r="S9" s="59">
        <f ca="1">AVERAGE(OFFSET($R$3,0,0,'Données projet'!$E$9+1,1))-AVERAGE(OFFSET($H$3,0,0,'Données projet'!$E$9+1,1))</f>
        <v>252.28378247570731</v>
      </c>
      <c r="T9" s="59">
        <f t="shared" si="34"/>
        <v>263.50418595307343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2.5851940357334171</v>
      </c>
      <c r="AK9" s="13">
        <f t="shared" si="35"/>
        <v>1.0666722775067177</v>
      </c>
      <c r="AL9" s="20">
        <f t="shared" si="4"/>
        <v>6.3603338288932347</v>
      </c>
      <c r="AM9" s="59">
        <f t="shared" si="5"/>
        <v>299.69366716222657</v>
      </c>
      <c r="AN9" s="59">
        <f ca="1">AVERAGE(OFFSET($AM$3,0,0,'Données projet'!$E$10+1,1))-AVERAGE(OFFSET($H$3,0,0,'Données projet'!$E$10+1,1))</f>
        <v>276.71735592065937</v>
      </c>
      <c r="AO9" s="59">
        <f t="shared" si="36"/>
        <v>159.98571289571038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3.85</v>
      </c>
      <c r="N10" s="13">
        <f>IF('Données projet'!$A$36&gt;35,N9+M10-V9,IF(A10&lt;'Données projet'!$A$36,$K$205^A10,IF(A10='Données projet'!$A$36,'Données projet'!$B$36,N9+M10-V9)))</f>
        <v>9.3549431450832632</v>
      </c>
      <c r="O10" s="13">
        <f>N10*VLOOKUP('Données projet'!$B$9,Paramètres!$A$1:$I$89,3,0)*VLOOKUP('Données projet'!$B$9,Paramètres!$A$1:$I$89,5,0)</f>
        <v>5.5942560007597919</v>
      </c>
      <c r="P10" s="13">
        <f t="shared" si="33"/>
        <v>2.1098772693466379</v>
      </c>
      <c r="Q10" s="20">
        <f t="shared" si="2"/>
        <v>13.418032112102033</v>
      </c>
      <c r="R10" s="59">
        <f t="shared" si="0"/>
        <v>306.75136544543534</v>
      </c>
      <c r="S10" s="59">
        <f ca="1">AVERAGE(OFFSET($R$3,0,0,'Données projet'!$E$9+1,1))-AVERAGE(OFFSET($H$3,0,0,'Données projet'!$E$9+1,1))</f>
        <v>252.28378247570731</v>
      </c>
      <c r="T10" s="59">
        <f t="shared" si="34"/>
        <v>263.50418595307343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3.1164173233748005</v>
      </c>
      <c r="AK10" s="13">
        <f t="shared" si="35"/>
        <v>1.2581898046809412</v>
      </c>
      <c r="AL10" s="20">
        <f t="shared" si="4"/>
        <v>7.6191074146970825</v>
      </c>
      <c r="AM10" s="59">
        <f t="shared" si="5"/>
        <v>300.95244074803037</v>
      </c>
      <c r="AN10" s="59">
        <f ca="1">AVERAGE(OFFSET($AM$3,0,0,'Données projet'!$E$10+1,1))-AVERAGE(OFFSET($H$3,0,0,'Données projet'!$E$10+1,1))</f>
        <v>276.71735592065937</v>
      </c>
      <c r="AO10" s="59">
        <f t="shared" si="36"/>
        <v>159.98571289571038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3.85</v>
      </c>
      <c r="N11" s="13">
        <f>IF('Données projet'!$A$36&gt;35,N10+M11-V10,IF(A11&lt;'Données projet'!$A$36,$K$205^A11,IF(A11='Données projet'!$A$36,'Données projet'!$B$36,N10+M11-V10)))</f>
        <v>12.875417399356465</v>
      </c>
      <c r="O11" s="13">
        <f>N11*VLOOKUP('Données projet'!$B$9,Paramètres!$A$1:$I$89,3,0)*VLOOKUP('Données projet'!$B$9,Paramètres!$A$1:$I$89,5,0)</f>
        <v>7.6994996048151672</v>
      </c>
      <c r="P11" s="13">
        <f t="shared" si="33"/>
        <v>2.7978880332727099</v>
      </c>
      <c r="Q11" s="20">
        <f t="shared" si="2"/>
        <v>18.282950136336385</v>
      </c>
      <c r="R11" s="59">
        <f t="shared" si="0"/>
        <v>311.61628346966972</v>
      </c>
      <c r="S11" s="59">
        <f ca="1">AVERAGE(OFFSET($R$3,0,0,'Données projet'!$E$9+1,1))-AVERAGE(OFFSET($H$3,0,0,'Données projet'!$E$9+1,1))</f>
        <v>252.28378247570731</v>
      </c>
      <c r="T11" s="59">
        <f t="shared" si="34"/>
        <v>263.50418595307343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3.7567999922587045</v>
      </c>
      <c r="AK11" s="13">
        <f t="shared" si="35"/>
        <v>1.4840936789913857</v>
      </c>
      <c r="AL11" s="20">
        <f t="shared" si="4"/>
        <v>9.127889810760573</v>
      </c>
      <c r="AM11" s="59">
        <f t="shared" si="5"/>
        <v>302.46122314409388</v>
      </c>
      <c r="AN11" s="59">
        <f ca="1">AVERAGE(OFFSET($AM$3,0,0,'Données projet'!$E$10+1,1))-AVERAGE(OFFSET($H$3,0,0,'Données projet'!$E$10+1,1))</f>
        <v>276.71735592065937</v>
      </c>
      <c r="AO11" s="59">
        <f t="shared" si="36"/>
        <v>159.98571289571038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3.85</v>
      </c>
      <c r="N12" s="13">
        <f>IF('Données projet'!$A$36&gt;35,N11+M12-V11,IF(A12&lt;'Données projet'!$A$36,$K$205^A12,IF(A12='Données projet'!$A$36,'Données projet'!$B$36,N11+M12-V11)))</f>
        <v>17.720724822873922</v>
      </c>
      <c r="O12" s="13">
        <f>N12*VLOOKUP('Données projet'!$B$9,Paramètres!$A$1:$I$89,3,0)*VLOOKUP('Données projet'!$B$9,Paramètres!$A$1:$I$89,5,0)</f>
        <v>10.596993444078608</v>
      </c>
      <c r="P12" s="13">
        <f t="shared" si="33"/>
        <v>3.7102525158512041</v>
      </c>
      <c r="Q12" s="20">
        <f t="shared" si="2"/>
        <v>24.918453380211091</v>
      </c>
      <c r="R12" s="59">
        <f t="shared" si="0"/>
        <v>318.25178671354439</v>
      </c>
      <c r="S12" s="59">
        <f ca="1">AVERAGE(OFFSET($R$3,0,0,'Données projet'!$E$9+1,1))-AVERAGE(OFFSET($H$3,0,0,'Données projet'!$E$9+1,1))</f>
        <v>252.28378247570731</v>
      </c>
      <c r="T12" s="59">
        <f t="shared" si="34"/>
        <v>263.50418595307343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4.5287728559252471</v>
      </c>
      <c r="AK12" s="13">
        <f t="shared" si="35"/>
        <v>1.7505578568733651</v>
      </c>
      <c r="AL12" s="20">
        <f t="shared" si="4"/>
        <v>10.93650099145758</v>
      </c>
      <c r="AM12" s="59">
        <f t="shared" si="5"/>
        <v>304.26983432479091</v>
      </c>
      <c r="AN12" s="59">
        <f ca="1">AVERAGE(OFFSET($AM$3,0,0,'Données projet'!$E$10+1,1))-AVERAGE(OFFSET($H$3,0,0,'Données projet'!$E$10+1,1))</f>
        <v>276.71735592065937</v>
      </c>
      <c r="AO12" s="59">
        <f t="shared" si="36"/>
        <v>159.98571289571038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3.85</v>
      </c>
      <c r="N13" s="13">
        <f>IF('Données projet'!$A$36&gt;35,N12+M13-V12,IF(A13&lt;'Données projet'!$A$36,$K$205^A13,IF(A13='Données projet'!$A$36,'Données projet'!$B$36,N12+M13-V12)))</f>
        <v>24.389429756561942</v>
      </c>
      <c r="O13" s="13">
        <f>N13*VLOOKUP('Données projet'!$B$9,Paramètres!$A$1:$I$89,3,0)*VLOOKUP('Données projet'!$B$9,Paramètres!$A$1:$I$89,5,0)</f>
        <v>14.584878994424042</v>
      </c>
      <c r="P13" s="13">
        <f t="shared" si="33"/>
        <v>4.9201303153214564</v>
      </c>
      <c r="Q13" s="20">
        <f t="shared" si="2"/>
        <v>33.971224547806742</v>
      </c>
      <c r="R13" s="59">
        <f t="shared" si="0"/>
        <v>327.30455788114006</v>
      </c>
      <c r="S13" s="59">
        <f ca="1">AVERAGE(OFFSET($R$3,0,0,'Données projet'!$E$9+1,1))-AVERAGE(OFFSET($H$3,0,0,'Données projet'!$E$9+1,1))</f>
        <v>252.28378247570731</v>
      </c>
      <c r="T13" s="59">
        <f t="shared" si="34"/>
        <v>263.50418595307343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5.4593759643387862</v>
      </c>
      <c r="AK13" s="13">
        <f t="shared" si="35"/>
        <v>2.0648648084962673</v>
      </c>
      <c r="AL13" s="20">
        <f t="shared" si="4"/>
        <v>13.104719346021051</v>
      </c>
      <c r="AM13" s="59">
        <f t="shared" si="5"/>
        <v>306.43805267935437</v>
      </c>
      <c r="AN13" s="59">
        <f ca="1">AVERAGE(OFFSET($AM$3,0,0,'Données projet'!$E$10+1,1))-AVERAGE(OFFSET($H$3,0,0,'Données projet'!$E$10+1,1))</f>
        <v>276.71735592065937</v>
      </c>
      <c r="AO13" s="59">
        <f t="shared" si="36"/>
        <v>159.98571289571038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3.85</v>
      </c>
      <c r="N14" s="13">
        <f>IF('Données projet'!$A$36&gt;35,N13+M14-V13,IF(A14&lt;'Données projet'!$A$36,$K$205^A14,IF(A14='Données projet'!$A$36,'Données projet'!$B$36,N13+M14-V13)))</f>
        <v>33.567717449257145</v>
      </c>
      <c r="O14" s="13">
        <f>N14*VLOOKUP('Données projet'!$B$9,Paramètres!$A$1:$I$89,3,0)*VLOOKUP('Données projet'!$B$9,Paramètres!$A$1:$I$89,5,0)</f>
        <v>20.073495034655775</v>
      </c>
      <c r="P14" s="13">
        <f t="shared" si="33"/>
        <v>6.5245376740055958</v>
      </c>
      <c r="Q14" s="20">
        <f t="shared" si="2"/>
        <v>46.324906967585214</v>
      </c>
      <c r="R14" s="59">
        <f t="shared" si="0"/>
        <v>339.65824030091852</v>
      </c>
      <c r="S14" s="59">
        <f ca="1">AVERAGE(OFFSET($R$3,0,0,'Données projet'!$E$9+1,1))-AVERAGE(OFFSET($H$3,0,0,'Données projet'!$E$9+1,1))</f>
        <v>252.28378247570731</v>
      </c>
      <c r="T14" s="59">
        <f t="shared" si="34"/>
        <v>263.50418595307343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6.5812057411986977</v>
      </c>
      <c r="AK14" s="13">
        <f t="shared" si="35"/>
        <v>2.4356045477877388</v>
      </c>
      <c r="AL14" s="20">
        <f t="shared" si="4"/>
        <v>15.70427791998471</v>
      </c>
      <c r="AM14" s="59">
        <f t="shared" si="5"/>
        <v>309.037611253318</v>
      </c>
      <c r="AN14" s="59">
        <f ca="1">AVERAGE(OFFSET($AM$3,0,0,'Données projet'!$E$10+1,1))-AVERAGE(OFFSET($H$3,0,0,'Données projet'!$E$10+1,1))</f>
        <v>276.71735592065937</v>
      </c>
      <c r="AO14" s="59">
        <f t="shared" si="36"/>
        <v>159.98571289571038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46.2</v>
      </c>
      <c r="L15" s="12">
        <f>VLOOKUP(A15,'Données projet'!$A$35:$I$55,9,0)</f>
        <v>3.85</v>
      </c>
      <c r="M15" s="12">
        <f t="array" ref="M15">INDEX(L:L,MIN(IF(ISNUMBER(L15:L211),ROW(L15:L211),"")))</f>
        <v>3.85</v>
      </c>
      <c r="N15" s="13">
        <f>IF('Données projet'!$A$36&gt;35,N14+M15-V14,IF(A15&lt;'Données projet'!$A$36,$K$205^A15,IF(A15='Données projet'!$A$36,'Données projet'!$B$36,N14+M15-V14)))</f>
        <v>46.2</v>
      </c>
      <c r="O15" s="13">
        <f>N15*VLOOKUP('Données projet'!$B$9,Paramètres!$A$1:$I$89,3,0)*VLOOKUP('Données projet'!$B$9,Paramètres!$A$1:$I$89,5,0)</f>
        <v>27.627600000000005</v>
      </c>
      <c r="P15" s="13">
        <f t="shared" si="33"/>
        <v>8.6521269013861506</v>
      </c>
      <c r="Q15" s="20">
        <f t="shared" si="2"/>
        <v>63.187191019914216</v>
      </c>
      <c r="R15" s="59">
        <f t="shared" si="0"/>
        <v>356.52052435324754</v>
      </c>
      <c r="S15" s="59">
        <f ca="1">AVERAGE(OFFSET($R$3,0,0,'Données projet'!$E$9+1,1))-AVERAGE(OFFSET($H$3,0,0,'Données projet'!$E$9+1,1))</f>
        <v>252.28378247570731</v>
      </c>
      <c r="T15" s="59">
        <f t="shared" si="34"/>
        <v>263.50418595307343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7.9335567454791462</v>
      </c>
      <c r="AK15" s="13">
        <f t="shared" si="35"/>
        <v>2.8729093976493338</v>
      </c>
      <c r="AL15" s="20">
        <f t="shared" si="4"/>
        <v>18.82126186594877</v>
      </c>
      <c r="AM15" s="59">
        <f t="shared" si="5"/>
        <v>312.15459519928208</v>
      </c>
      <c r="AN15" s="59">
        <f ca="1">AVERAGE(OFFSET($AM$3,0,0,'Données projet'!$E$10+1,1))-AVERAGE(OFFSET($H$3,0,0,'Données projet'!$E$10+1,1))</f>
        <v>276.71735592065937</v>
      </c>
      <c r="AO15" s="59">
        <f t="shared" si="36"/>
        <v>159.98571289571038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15.324999999999999</v>
      </c>
      <c r="N16" s="13">
        <f>IF('Données projet'!$A$36&gt;35,N15+M16-V15,IF(A16&lt;'Données projet'!$A$36,$K$205^A16,IF(A16='Données projet'!$A$36,'Données projet'!$B$36,N15+M16-V15)))</f>
        <v>61.525000000000006</v>
      </c>
      <c r="O16" s="13">
        <f>N16*VLOOKUP('Données projet'!$B$9,Paramètres!$A$1:$I$89,3,0)*VLOOKUP('Données projet'!$B$9,Paramètres!$A$1:$I$89,5,0)</f>
        <v>36.791950000000007</v>
      </c>
      <c r="P16" s="13">
        <f t="shared" si="33"/>
        <v>11.144260225190576</v>
      </c>
      <c r="Q16" s="20">
        <f t="shared" si="2"/>
        <v>83.488899475540265</v>
      </c>
      <c r="R16" s="59">
        <f t="shared" si="0"/>
        <v>376.82223280887359</v>
      </c>
      <c r="S16" s="59">
        <f ca="1">AVERAGE(OFFSET($R$3,0,0,'Données projet'!$E$9+1,1))-AVERAGE(OFFSET($H$3,0,0,'Données projet'!$E$9+1,1))</f>
        <v>252.28378247570731</v>
      </c>
      <c r="T16" s="59">
        <f t="shared" si="34"/>
        <v>263.50418595307343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9.5637980499107691</v>
      </c>
      <c r="AK16" s="13">
        <f t="shared" si="35"/>
        <v>3.3887309065006521</v>
      </c>
      <c r="AL16" s="20">
        <f t="shared" si="4"/>
        <v>22.558987932416557</v>
      </c>
      <c r="AM16" s="59">
        <f t="shared" si="5"/>
        <v>315.89232126574984</v>
      </c>
      <c r="AN16" s="59">
        <f ca="1">AVERAGE(OFFSET($AM$3,0,0,'Données projet'!$E$10+1,1))-AVERAGE(OFFSET($H$3,0,0,'Données projet'!$E$10+1,1))</f>
        <v>276.71735592065937</v>
      </c>
      <c r="AO16" s="59">
        <f t="shared" si="36"/>
        <v>159.98571289571038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15.324999999999999</v>
      </c>
      <c r="N17" s="13">
        <f>IF('Données projet'!$A$36&gt;35,N16+M17-V16,IF(A17&lt;'Données projet'!$A$36,$K$205^A17,IF(A17='Données projet'!$A$36,'Données projet'!$B$36,N16+M17-V16)))</f>
        <v>76.850000000000009</v>
      </c>
      <c r="O17" s="13">
        <f>N17*VLOOKUP('Données projet'!$B$9,Paramètres!$A$1:$I$89,3,0)*VLOOKUP('Données projet'!$B$9,Paramètres!$A$1:$I$89,5,0)</f>
        <v>45.956300000000013</v>
      </c>
      <c r="P17" s="13">
        <f t="shared" si="33"/>
        <v>13.564386507579055</v>
      </c>
      <c r="Q17" s="20">
        <f t="shared" si="2"/>
        <v>103.66519566736689</v>
      </c>
      <c r="R17" s="59">
        <f t="shared" si="0"/>
        <v>396.99852900070022</v>
      </c>
      <c r="S17" s="59">
        <f ca="1">AVERAGE(OFFSET($R$3,0,0,'Données projet'!$E$9+1,1))-AVERAGE(OFFSET($H$3,0,0,'Données projet'!$E$9+1,1))</f>
        <v>252.28378247570731</v>
      </c>
      <c r="T17" s="59">
        <f t="shared" si="34"/>
        <v>263.50418595307343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11.529032447092296</v>
      </c>
      <c r="AK17" s="13">
        <f t="shared" si="35"/>
        <v>3.9971664842854926</v>
      </c>
      <c r="AL17" s="20">
        <f t="shared" si="4"/>
        <v>27.041463138816312</v>
      </c>
      <c r="AM17" s="59">
        <f t="shared" si="5"/>
        <v>320.37479647214963</v>
      </c>
      <c r="AN17" s="59">
        <f ca="1">AVERAGE(OFFSET($AM$3,0,0,'Données projet'!$E$10+1,1))-AVERAGE(OFFSET($H$3,0,0,'Données projet'!$E$10+1,1))</f>
        <v>276.71735592065937</v>
      </c>
      <c r="AO17" s="59">
        <f t="shared" si="36"/>
        <v>159.98571289571038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15.324999999999999</v>
      </c>
      <c r="N18" s="13">
        <f>IF('Données projet'!$A$36&gt;35,N17+M18-V17,IF(A18&lt;'Données projet'!$A$36,$K$205^A18,IF(A18='Données projet'!$A$36,'Données projet'!$B$36,N17+M18-V17)))</f>
        <v>92.175000000000011</v>
      </c>
      <c r="O18" s="13">
        <f>N18*VLOOKUP('Données projet'!$B$9,Paramètres!$A$1:$I$89,3,0)*VLOOKUP('Données projet'!$B$9,Paramètres!$A$1:$I$89,5,0)</f>
        <v>55.120650000000012</v>
      </c>
      <c r="P18" s="13">
        <f t="shared" si="33"/>
        <v>15.928592691029031</v>
      </c>
      <c r="Q18" s="20">
        <f t="shared" si="2"/>
        <v>123.74409768687555</v>
      </c>
      <c r="R18" s="59">
        <f t="shared" si="0"/>
        <v>417.07743102020885</v>
      </c>
      <c r="S18" s="59">
        <f ca="1">AVERAGE(OFFSET($R$3,0,0,'Données projet'!$E$9+1,1))-AVERAGE(OFFSET($H$3,0,0,'Données projet'!$E$9+1,1))</f>
        <v>252.28378247570731</v>
      </c>
      <c r="T18" s="59">
        <f t="shared" si="34"/>
        <v>263.50418595307343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13.898096600580887</v>
      </c>
      <c r="AK18" s="13">
        <f t="shared" si="35"/>
        <v>4.7148446849071632</v>
      </c>
      <c r="AL18" s="20">
        <f t="shared" si="4"/>
        <v>32.417539405558351</v>
      </c>
      <c r="AM18" s="59">
        <f t="shared" si="5"/>
        <v>325.75087273889164</v>
      </c>
      <c r="AN18" s="59">
        <f ca="1">AVERAGE(OFFSET($AM$3,0,0,'Données projet'!$E$10+1,1))-AVERAGE(OFFSET($H$3,0,0,'Données projet'!$E$10+1,1))</f>
        <v>276.71735592065937</v>
      </c>
      <c r="AO18" s="59">
        <f t="shared" si="36"/>
        <v>159.98571289571038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107.5</v>
      </c>
      <c r="L19" s="12">
        <f>VLOOKUP(A19,'Données projet'!$A$35:$I$55,9,0)</f>
        <v>15.324999999999999</v>
      </c>
      <c r="M19" s="12">
        <f t="array" ref="M19">INDEX(L:L,MIN(IF(ISNUMBER(L19:L215),ROW(L19:L215),"")))</f>
        <v>15.324999999999999</v>
      </c>
      <c r="N19" s="13">
        <f>IF('Données projet'!$A$36&gt;35,N18+M19-V18,IF(A19&lt;'Données projet'!$A$36,$K$205^A19,IF(A19='Données projet'!$A$36,'Données projet'!$B$36,N18+M19-V18)))</f>
        <v>107.50000000000001</v>
      </c>
      <c r="O19" s="13">
        <f>N19*VLOOKUP('Données projet'!$B$9,Paramètres!$A$1:$I$89,3,0)*VLOOKUP('Données projet'!$B$9,Paramètres!$A$1:$I$89,5,0)</f>
        <v>64.285000000000011</v>
      </c>
      <c r="P19" s="13">
        <f t="shared" si="33"/>
        <v>18.247263773944024</v>
      </c>
      <c r="Q19" s="20">
        <f t="shared" si="2"/>
        <v>143.74369273961921</v>
      </c>
      <c r="R19" s="59">
        <f t="shared" si="0"/>
        <v>437.07702607295255</v>
      </c>
      <c r="S19" s="59">
        <f ca="1">AVERAGE(OFFSET($R$3,0,0,'Données projet'!$E$9+1,1))-AVERAGE(OFFSET($H$3,0,0,'Données projet'!$E$9+1,1))</f>
        <v>252.28378247570731</v>
      </c>
      <c r="T19" s="59">
        <f t="shared" si="34"/>
        <v>263.50418595307343</v>
      </c>
      <c r="U19" s="15">
        <f>IF(ISNA(VLOOKUP(A19,'Données projet'!$A$35:$I$55,3,0)),0,VLOOKUP(A19,'Données projet'!$A$35:$I$55,3,0))</f>
        <v>2</v>
      </c>
      <c r="V19" s="15">
        <f>IF(ISNA(VLOOKUP(A19,'Données projet'!$A$35:$I$55,4,0)),0,VLOOKUP(A19,'Données projet'!$A$35:$I$55,4,0))</f>
        <v>25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8.4634364240103324</v>
      </c>
      <c r="AC19" s="22">
        <f t="shared" si="3"/>
        <v>8.4634364240103324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16.753972200658836</v>
      </c>
      <c r="AK19" s="13">
        <f t="shared" si="35"/>
        <v>5.5613796648680189</v>
      </c>
      <c r="AL19" s="20">
        <f t="shared" si="4"/>
        <v>38.865904499125939</v>
      </c>
      <c r="AM19" s="59">
        <f t="shared" si="5"/>
        <v>332.19923783245923</v>
      </c>
      <c r="AN19" s="59">
        <f ca="1">AVERAGE(OFFSET($AM$3,0,0,'Données projet'!$E$10+1,1))-AVERAGE(OFFSET($H$3,0,0,'Données projet'!$E$10+1,1))</f>
        <v>276.71735592065937</v>
      </c>
      <c r="AO19" s="59">
        <f t="shared" si="36"/>
        <v>159.98571289571038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17.200000000000003</v>
      </c>
      <c r="N20" s="13">
        <f>IF('Données projet'!$A$36&gt;35,N19+M20-V19,IF(A20&lt;'Données projet'!$A$36,$K$205^A20,IF(A20='Données projet'!$A$36,'Données projet'!$B$36,N19+M20-V19)))</f>
        <v>99.700000000000017</v>
      </c>
      <c r="O20" s="13">
        <f>N20*VLOOKUP('Données projet'!$B$9,Paramètres!$A$1:$I$89,3,0)*VLOOKUP('Données projet'!$B$9,Paramètres!$A$1:$I$89,5,0)</f>
        <v>59.62060000000001</v>
      </c>
      <c r="P20" s="13">
        <f t="shared" si="33"/>
        <v>17.072309403636297</v>
      </c>
      <c r="Q20" s="20">
        <f t="shared" si="2"/>
        <v>133.57348387799991</v>
      </c>
      <c r="R20" s="59">
        <f t="shared" si="0"/>
        <v>426.90681721133319</v>
      </c>
      <c r="S20" s="59">
        <f ca="1">AVERAGE(OFFSET($R$3,0,0,'Données projet'!$E$9+1,1))-AVERAGE(OFFSET($H$3,0,0,'Données projet'!$E$9+1,1))</f>
        <v>252.28378247570731</v>
      </c>
      <c r="T20" s="59">
        <f t="shared" si="34"/>
        <v>263.50418595307343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5.9845532875589305</v>
      </c>
      <c r="AC20" s="22">
        <f t="shared" si="3"/>
        <v>5.9845532875589305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20.196692580818372</v>
      </c>
      <c r="AK20" s="13">
        <f t="shared" si="35"/>
        <v>6.5599072384749233</v>
      </c>
      <c r="AL20" s="20">
        <f t="shared" si="4"/>
        <v>46.601078018602493</v>
      </c>
      <c r="AM20" s="59">
        <f t="shared" si="5"/>
        <v>339.93441135193581</v>
      </c>
      <c r="AN20" s="59">
        <f ca="1">AVERAGE(OFFSET($AM$3,0,0,'Données projet'!$E$10+1,1))-AVERAGE(OFFSET($H$3,0,0,'Données projet'!$E$10+1,1))</f>
        <v>276.71735592065937</v>
      </c>
      <c r="AO20" s="59">
        <f t="shared" si="36"/>
        <v>159.98571289571038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17.200000000000003</v>
      </c>
      <c r="N21" s="13">
        <f>IF('Données projet'!$A$36&gt;35,N20+M21-V20,IF(A21&lt;'Données projet'!$A$36,$K$205^A21,IF(A21='Données projet'!$A$36,'Données projet'!$B$36,N20+M21-V20)))</f>
        <v>116.90000000000002</v>
      </c>
      <c r="O21" s="13">
        <f>N21*VLOOKUP('Données projet'!$B$9,Paramètres!$A$1:$I$89,3,0)*VLOOKUP('Données projet'!$B$9,Paramètres!$A$1:$I$89,5,0)</f>
        <v>69.906200000000013</v>
      </c>
      <c r="P21" s="13">
        <f t="shared" si="33"/>
        <v>19.650161907904558</v>
      </c>
      <c r="Q21" s="20">
        <f t="shared" si="2"/>
        <v>155.9773303229338</v>
      </c>
      <c r="R21" s="59">
        <f t="shared" si="0"/>
        <v>449.31066365626714</v>
      </c>
      <c r="S21" s="59">
        <f ca="1">AVERAGE(OFFSET($R$3,0,0,'Données projet'!$E$9+1,1))-AVERAGE(OFFSET($H$3,0,0,'Données projet'!$E$9+1,1))</f>
        <v>252.28378247570731</v>
      </c>
      <c r="T21" s="59">
        <f t="shared" si="34"/>
        <v>263.50418595307343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4.2317182120051662</v>
      </c>
      <c r="AC21" s="22">
        <f t="shared" si="3"/>
        <v>4.2317182120051662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24.346846605609343</v>
      </c>
      <c r="AK21" s="13">
        <f t="shared" si="35"/>
        <v>7.7377171800078735</v>
      </c>
      <c r="AL21" s="20">
        <f t="shared" si="4"/>
        <v>55.880615259949991</v>
      </c>
      <c r="AM21" s="59">
        <f t="shared" si="5"/>
        <v>349.21394859328331</v>
      </c>
      <c r="AN21" s="59">
        <f ca="1">AVERAGE(OFFSET($AM$3,0,0,'Données projet'!$E$10+1,1))-AVERAGE(OFFSET($H$3,0,0,'Données projet'!$E$10+1,1))</f>
        <v>276.71735592065937</v>
      </c>
      <c r="AO21" s="59">
        <f t="shared" si="36"/>
        <v>159.98571289571038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17.200000000000003</v>
      </c>
      <c r="N22" s="13">
        <f>IF('Données projet'!$A$36&gt;35,N21+M22-V21,IF(A22&lt;'Données projet'!$A$36,$K$205^A22,IF(A22='Données projet'!$A$36,'Données projet'!$B$36,N21+M22-V21)))</f>
        <v>134.10000000000002</v>
      </c>
      <c r="O22" s="13">
        <f>N22*VLOOKUP('Données projet'!$B$9,Paramètres!$A$1:$I$89,3,0)*VLOOKUP('Données projet'!$B$9,Paramètres!$A$1:$I$89,5,0)</f>
        <v>80.191800000000015</v>
      </c>
      <c r="P22" s="13">
        <f t="shared" si="33"/>
        <v>22.184073687979513</v>
      </c>
      <c r="Q22" s="20">
        <f t="shared" si="2"/>
        <v>178.30464667323099</v>
      </c>
      <c r="R22" s="59">
        <f t="shared" si="0"/>
        <v>471.63798000656431</v>
      </c>
      <c r="S22" s="59">
        <f ca="1">AVERAGE(OFFSET($R$3,0,0,'Données projet'!$E$9+1,1))-AVERAGE(OFFSET($H$3,0,0,'Données projet'!$E$9+1,1))</f>
        <v>252.28378247570731</v>
      </c>
      <c r="T22" s="59">
        <f t="shared" si="34"/>
        <v>263.50418595307343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2.9922766437794652</v>
      </c>
      <c r="AC22" s="22">
        <f t="shared" si="3"/>
        <v>2.9922766437794652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29.349802561239567</v>
      </c>
      <c r="AK22" s="13">
        <f t="shared" si="35"/>
        <v>9.1269990536799668</v>
      </c>
      <c r="AL22" s="20">
        <f t="shared" si="4"/>
        <v>67.013762812651535</v>
      </c>
      <c r="AM22" s="59">
        <f t="shared" si="5"/>
        <v>360.34709614598484</v>
      </c>
      <c r="AN22" s="59">
        <f ca="1">AVERAGE(OFFSET($AM$3,0,0,'Données projet'!$E$10+1,1))-AVERAGE(OFFSET($H$3,0,0,'Données projet'!$E$10+1,1))</f>
        <v>276.71735592065937</v>
      </c>
      <c r="AO22" s="59">
        <f t="shared" si="36"/>
        <v>159.98571289571038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151.30000000000001</v>
      </c>
      <c r="L23" s="12">
        <f>VLOOKUP(A23,'Données projet'!$A$35:$I$55,9,0)</f>
        <v>17.200000000000003</v>
      </c>
      <c r="M23" s="12">
        <f t="array" ref="M23">INDEX(L:L,MIN(IF(ISNUMBER(L23:L219),ROW(L23:L219),"")))</f>
        <v>17.200000000000003</v>
      </c>
      <c r="N23" s="13">
        <f>IF('Données projet'!$A$36&gt;35,N22+M23-V22,IF(A23&lt;'Données projet'!$A$36,$K$205^A23,IF(A23='Données projet'!$A$36,'Données projet'!$B$36,N22+M23-V22)))</f>
        <v>151.30000000000001</v>
      </c>
      <c r="O23" s="13">
        <f>N23*VLOOKUP('Données projet'!$B$9,Paramètres!$A$1:$I$89,3,0)*VLOOKUP('Données projet'!$B$9,Paramètres!$A$1:$I$89,5,0)</f>
        <v>90.477400000000017</v>
      </c>
      <c r="P23" s="13">
        <f t="shared" si="33"/>
        <v>24.680326903050478</v>
      </c>
      <c r="Q23" s="20">
        <f t="shared" si="2"/>
        <v>200.5663743561463</v>
      </c>
      <c r="R23" s="59">
        <f t="shared" si="0"/>
        <v>493.89970768947961</v>
      </c>
      <c r="S23" s="59">
        <f ca="1">AVERAGE(OFFSET($R$3,0,0,'Données projet'!$E$9+1,1))-AVERAGE(OFFSET($H$3,0,0,'Données projet'!$E$9+1,1))</f>
        <v>252.28378247570731</v>
      </c>
      <c r="T23" s="59">
        <f t="shared" si="34"/>
        <v>263.50418595307343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33.700000000000003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2.4060350560221795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15.8063138654817</v>
      </c>
      <c r="AC23" s="22">
        <f t="shared" si="3"/>
        <v>18.212348921503878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35.380800000000001</v>
      </c>
      <c r="AK23" s="13">
        <f t="shared" si="35"/>
        <v>10.765721954933243</v>
      </c>
      <c r="AL23" s="20">
        <f t="shared" si="4"/>
        <v>80.371859071508723</v>
      </c>
      <c r="AM23" s="59">
        <f t="shared" si="5"/>
        <v>373.70519240484202</v>
      </c>
      <c r="AN23" s="59">
        <f ca="1">AVERAGE(OFFSET($AM$3,0,0,'Données projet'!$E$10+1,1))-AVERAGE(OFFSET($H$3,0,0,'Données projet'!$E$10+1,1))</f>
        <v>276.71735592065937</v>
      </c>
      <c r="AO23" s="59">
        <f t="shared" si="36"/>
        <v>159.98571289571038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19.899999999999995</v>
      </c>
      <c r="N24" s="13">
        <f>IF('Données projet'!$A$36&gt;35,N23+M24-V23,IF(A24&lt;'Données projet'!$A$36,$K$205^A24,IF(A24='Données projet'!$A$36,'Données projet'!$B$36,N23+M24-V23)))</f>
        <v>137.5</v>
      </c>
      <c r="O24" s="13">
        <f>N24*VLOOKUP('Données projet'!$B$9,Paramètres!$A$1:$I$89,3,0)*VLOOKUP('Données projet'!$B$9,Paramètres!$A$1:$I$89,5,0)</f>
        <v>82.225000000000009</v>
      </c>
      <c r="P24" s="13">
        <f t="shared" si="33"/>
        <v>22.680336573198979</v>
      </c>
      <c r="Q24" s="20">
        <f t="shared" si="2"/>
        <v>182.71012786498821</v>
      </c>
      <c r="R24" s="59">
        <f t="shared" si="0"/>
        <v>476.04346119832155</v>
      </c>
      <c r="S24" s="59">
        <f ca="1">AVERAGE(OFFSET($R$3,0,0,'Données projet'!$E$9+1,1))-AVERAGE(OFFSET($H$3,0,0,'Données projet'!$E$9+1,1))</f>
        <v>252.28378247570731</v>
      </c>
      <c r="T24" s="59">
        <f t="shared" si="34"/>
        <v>263.50418595307343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2.3588541761100617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11.176751719845061</v>
      </c>
      <c r="AC24" s="22">
        <f t="shared" si="3"/>
        <v>13.535605895955122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6.4</v>
      </c>
      <c r="AI24" s="13">
        <f>IF('Données projet'!$A$62&gt;35,AI23+AH24-AQ23,IF(A24&lt;'Données projet'!$A$62,$AF$205^A24,IF(A24='Données projet'!$A$62,'Données projet'!$B$62,AI23+AH24-AQ23)))</f>
        <v>48.4</v>
      </c>
      <c r="AJ24" s="13">
        <f>AI24*VLOOKUP('Données projet'!$B$10,Paramètres!$A$1:$I$89,3,0)*VLOOKUP('Données projet'!$B$10,Paramètres!$A$1:$I$89,5,0)</f>
        <v>40.77216</v>
      </c>
      <c r="AK24" s="13">
        <f t="shared" si="35"/>
        <v>12.203079699606745</v>
      </c>
      <c r="AL24" s="20">
        <f t="shared" si="4"/>
        <v>92.265209143481741</v>
      </c>
      <c r="AM24" s="59">
        <f t="shared" si="5"/>
        <v>385.59854247681506</v>
      </c>
      <c r="AN24" s="59">
        <f ca="1">AVERAGE(OFFSET($AM$3,0,0,'Données projet'!$E$10+1,1))-AVERAGE(OFFSET($H$3,0,0,'Données projet'!$E$10+1,1))</f>
        <v>276.71735592065937</v>
      </c>
      <c r="AO24" s="59">
        <f t="shared" si="36"/>
        <v>159.98571289571038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19.899999999999995</v>
      </c>
      <c r="N25" s="13">
        <f>IF('Données projet'!$A$36&gt;35,N24+M25-V24,IF(A25&lt;'Données projet'!$A$36,$K$205^A25,IF(A25='Données projet'!$A$36,'Données projet'!$B$36,N24+M25-V24)))</f>
        <v>157.4</v>
      </c>
      <c r="O25" s="13">
        <f>N25*VLOOKUP('Données projet'!$B$9,Paramètres!$A$1:$I$89,3,0)*VLOOKUP('Données projet'!$B$9,Paramètres!$A$1:$I$89,5,0)</f>
        <v>94.125200000000021</v>
      </c>
      <c r="P25" s="13">
        <f t="shared" si="33"/>
        <v>25.557514079834487</v>
      </c>
      <c r="Q25" s="20">
        <f t="shared" si="2"/>
        <v>208.44739368904513</v>
      </c>
      <c r="R25" s="59">
        <f t="shared" si="0"/>
        <v>501.78072702237841</v>
      </c>
      <c r="S25" s="59">
        <f ca="1">AVERAGE(OFFSET($R$3,0,0,'Données projet'!$E$9+1,1))-AVERAGE(OFFSET($H$3,0,0,'Données projet'!$E$9+1,1))</f>
        <v>252.28378247570731</v>
      </c>
      <c r="T25" s="59">
        <f t="shared" si="34"/>
        <v>263.50418595307343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2.312598484475525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7.9031569327408508</v>
      </c>
      <c r="AC25" s="22">
        <f t="shared" si="3"/>
        <v>10.215755417216375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6.4</v>
      </c>
      <c r="AI25" s="13">
        <f>IF('Données projet'!$A$62&gt;35,AI24+AH25-AQ24,IF(A25&lt;'Données projet'!$A$62,$AF$205^A25,IF(A25='Données projet'!$A$62,'Données projet'!$B$62,AI24+AH25-AQ24)))</f>
        <v>54.8</v>
      </c>
      <c r="AJ25" s="13">
        <f>AI25*VLOOKUP('Données projet'!$B$10,Paramètres!$A$1:$I$89,3,0)*VLOOKUP('Données projet'!$B$10,Paramètres!$A$1:$I$89,5,0)</f>
        <v>46.163519999999998</v>
      </c>
      <c r="AK25" s="13">
        <f t="shared" si="35"/>
        <v>13.618415725600899</v>
      </c>
      <c r="AL25" s="20">
        <f t="shared" si="4"/>
        <v>104.12020472208822</v>
      </c>
      <c r="AM25" s="59">
        <f t="shared" si="5"/>
        <v>397.45353805542152</v>
      </c>
      <c r="AN25" s="59">
        <f ca="1">AVERAGE(OFFSET($AM$3,0,0,'Données projet'!$E$10+1,1))-AVERAGE(OFFSET($H$3,0,0,'Données projet'!$E$10+1,1))</f>
        <v>276.71735592065937</v>
      </c>
      <c r="AO25" s="59">
        <f t="shared" si="36"/>
        <v>159.98571289571038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19.899999999999995</v>
      </c>
      <c r="N26" s="13">
        <f>IF('Données projet'!$A$36&gt;35,N25+M26-V25,IF(A26&lt;'Données projet'!$A$36,$K$205^A26,IF(A26='Données projet'!$A$36,'Données projet'!$B$36,N25+M26-V25)))</f>
        <v>177.3</v>
      </c>
      <c r="O26" s="13">
        <f>N26*VLOOKUP('Données projet'!$B$9,Paramètres!$A$1:$I$89,3,0)*VLOOKUP('Données projet'!$B$9,Paramètres!$A$1:$I$89,5,0)</f>
        <v>106.02540000000002</v>
      </c>
      <c r="P26" s="13">
        <f t="shared" si="33"/>
        <v>28.392541537580129</v>
      </c>
      <c r="Q26" s="20">
        <f t="shared" si="2"/>
        <v>234.11124817795204</v>
      </c>
      <c r="R26" s="59">
        <f t="shared" si="0"/>
        <v>527.44458151128538</v>
      </c>
      <c r="S26" s="59">
        <f ca="1">AVERAGE(OFFSET($R$3,0,0,'Données projet'!$E$9+1,1))-AVERAGE(OFFSET($H$3,0,0,'Données projet'!$E$9+1,1))</f>
        <v>252.28378247570731</v>
      </c>
      <c r="T26" s="59">
        <f t="shared" si="34"/>
        <v>263.50418595307343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2.2672498387407556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5.5883758599225315</v>
      </c>
      <c r="AC26" s="22">
        <f t="shared" si="3"/>
        <v>7.8556256986632871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6.4</v>
      </c>
      <c r="AI26" s="13">
        <f>IF('Données projet'!$A$62&gt;35,AI25+AH26-AQ25,IF(A26&lt;'Données projet'!$A$62,$AF$205^A26,IF(A26='Données projet'!$A$62,'Données projet'!$B$62,AI25+AH26-AQ25)))</f>
        <v>61.199999999999996</v>
      </c>
      <c r="AJ26" s="13">
        <f>AI26*VLOOKUP('Données projet'!$B$10,Paramètres!$A$1:$I$89,3,0)*VLOOKUP('Données projet'!$B$10,Paramètres!$A$1:$I$89,5,0)</f>
        <v>51.554880000000004</v>
      </c>
      <c r="AK26" s="13">
        <f t="shared" si="35"/>
        <v>15.014595712976156</v>
      </c>
      <c r="AL26" s="20">
        <f t="shared" si="4"/>
        <v>115.94183686676679</v>
      </c>
      <c r="AM26" s="59">
        <f t="shared" si="5"/>
        <v>409.27517020010009</v>
      </c>
      <c r="AN26" s="59">
        <f ca="1">AVERAGE(OFFSET($AM$3,0,0,'Données projet'!$E$10+1,1))-AVERAGE(OFFSET($H$3,0,0,'Données projet'!$E$10+1,1))</f>
        <v>276.71735592065937</v>
      </c>
      <c r="AO26" s="59">
        <f t="shared" si="36"/>
        <v>159.98571289571038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197.2</v>
      </c>
      <c r="L27" s="12">
        <f>VLOOKUP(A27,'Données projet'!$A$35:$I$55,9,0)</f>
        <v>19.899999999999995</v>
      </c>
      <c r="M27" s="12">
        <f t="array" ref="M27">INDEX(L:L,MIN(IF(ISNUMBER(L27:L223),ROW(L27:L223),"")))</f>
        <v>19.899999999999995</v>
      </c>
      <c r="N27" s="13">
        <f>IF('Données projet'!$A$36&gt;35,N26+M27-V26,IF(A27&lt;'Données projet'!$A$36,$K$205^A27,IF(A27='Données projet'!$A$36,'Données projet'!$B$36,N26+M27-V26)))</f>
        <v>197.20000000000002</v>
      </c>
      <c r="O27" s="13">
        <f>N27*VLOOKUP('Données projet'!$B$9,Paramètres!$A$1:$I$89,3,0)*VLOOKUP('Données projet'!$B$9,Paramètres!$A$1:$I$89,5,0)</f>
        <v>117.92560000000003</v>
      </c>
      <c r="P27" s="13">
        <f t="shared" si="33"/>
        <v>31.190689636070587</v>
      </c>
      <c r="Q27" s="20">
        <f t="shared" si="2"/>
        <v>259.71087111615634</v>
      </c>
      <c r="R27" s="59">
        <f t="shared" si="0"/>
        <v>553.0442044494896</v>
      </c>
      <c r="S27" s="59">
        <f ca="1">AVERAGE(OFFSET($R$3,0,0,'Données projet'!$E$9+1,1))-AVERAGE(OFFSET($H$3,0,0,'Données projet'!$E$9+1,1))</f>
        <v>252.28378247570731</v>
      </c>
      <c r="T27" s="59">
        <f t="shared" si="34"/>
        <v>263.50418595307343</v>
      </c>
      <c r="U27" s="15">
        <f>IF(ISNA(VLOOKUP(A27,'Données projet'!$A$35:$I$55,3,0)),0,VLOOKUP(A27,'Données projet'!$A$35:$I$55,3,0))</f>
        <v>4</v>
      </c>
      <c r="V27" s="15">
        <f>IF(ISNA(VLOOKUP(A27,'Données projet'!$A$35:$I$55,4,0)),0,VLOOKUP(A27,'Données projet'!$A$35:$I$55,4,0))</f>
        <v>42.9</v>
      </c>
      <c r="W27" s="16">
        <f>IF(ISNA(VLOOKUP(A27,'Données projet'!$A$35:$I$55,5,0)),0%,VLOOKUP(A27,'Données projet'!$A$35:$I$55,5,0)*VLOOKUP('Données projet'!$B$9,Paramètres!$A$1:$I$89,7,0))</f>
        <v>0.13500000000000001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0.5</v>
      </c>
      <c r="Z27" s="21">
        <f>EXP(-LN(2)/35)*Z26+(1-EXP(-LN(2)/35))/(LN(2)/35)*V27*W27*VLOOKUP('Données projet'!$B$9,Paramètres!$A$1:$I$89,3,0)*0.475*44/12</f>
        <v>6.8171036824084048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18.474835369972155</v>
      </c>
      <c r="AC27" s="22">
        <f t="shared" si="3"/>
        <v>25.29193905238056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6.4</v>
      </c>
      <c r="AI27" s="13">
        <f>IF('Données projet'!$A$62&gt;35,AI26+AH27-AQ26,IF(A27&lt;'Données projet'!$A$62,$AF$205^A27,IF(A27='Données projet'!$A$62,'Données projet'!$B$62,AI26+AH27-AQ26)))</f>
        <v>67.599999999999994</v>
      </c>
      <c r="AJ27" s="13">
        <f>AI27*VLOOKUP('Données projet'!$B$10,Paramètres!$A$1:$I$89,3,0)*VLOOKUP('Données projet'!$B$10,Paramètres!$A$1:$I$89,5,0)</f>
        <v>56.946239999999996</v>
      </c>
      <c r="AK27" s="13">
        <f t="shared" si="35"/>
        <v>16.393851117957059</v>
      </c>
      <c r="AL27" s="20">
        <f t="shared" si="4"/>
        <v>127.73399203044187</v>
      </c>
      <c r="AM27" s="59">
        <f t="shared" si="5"/>
        <v>421.06732536377518</v>
      </c>
      <c r="AN27" s="59">
        <f ca="1">AVERAGE(OFFSET($AM$3,0,0,'Données projet'!$E$10+1,1))-AVERAGE(OFFSET($H$3,0,0,'Données projet'!$E$10+1,1))</f>
        <v>276.71735592065937</v>
      </c>
      <c r="AO27" s="59">
        <f t="shared" si="36"/>
        <v>159.98571289571038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19.875000000000007</v>
      </c>
      <c r="N28" s="13">
        <f>IF('Données projet'!$A$36&gt;35,N27+M28-V27,IF(A28&lt;'Données projet'!$A$36,$K$205^A28,IF(A28='Données projet'!$A$36,'Données projet'!$B$36,N27+M28-V27)))</f>
        <v>174.17500000000001</v>
      </c>
      <c r="O28" s="13">
        <f>N28*VLOOKUP('Données projet'!$B$9,Paramètres!$A$1:$I$89,3,0)*VLOOKUP('Données projet'!$B$9,Paramètres!$A$1:$I$89,5,0)</f>
        <v>104.15665000000001</v>
      </c>
      <c r="P28" s="13">
        <f t="shared" si="33"/>
        <v>27.949902735136092</v>
      </c>
      <c r="Q28" s="20">
        <f t="shared" si="2"/>
        <v>230.08557934702876</v>
      </c>
      <c r="R28" s="59">
        <f t="shared" si="0"/>
        <v>523.41891268036204</v>
      </c>
      <c r="S28" s="59">
        <f ca="1">AVERAGE(OFFSET($R$3,0,0,'Données projet'!$E$9+1,1))-AVERAGE(OFFSET($H$3,0,0,'Données projet'!$E$9+1,1))</f>
        <v>252.28378247570731</v>
      </c>
      <c r="T28" s="59">
        <f t="shared" si="34"/>
        <v>263.50418595307343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6.6834244372190517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13.06368137141239</v>
      </c>
      <c r="AC28" s="22">
        <f t="shared" si="3"/>
        <v>19.747105808631442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6.4</v>
      </c>
      <c r="AI28" s="13">
        <f>IF('Données projet'!$A$62&gt;35,AI27+AH28-AQ27,IF(A28&lt;'Données projet'!$A$62,$AF$205^A28,IF(A28='Données projet'!$A$62,'Données projet'!$B$62,AI27+AH28-AQ27)))</f>
        <v>74</v>
      </c>
      <c r="AJ28" s="13">
        <f>AI28*VLOOKUP('Données projet'!$B$10,Paramètres!$A$1:$I$89,3,0)*VLOOKUP('Données projet'!$B$10,Paramètres!$A$1:$I$89,5,0)</f>
        <v>62.337600000000002</v>
      </c>
      <c r="AK28" s="13">
        <f t="shared" si="35"/>
        <v>17.757966554912596</v>
      </c>
      <c r="AL28" s="20">
        <f t="shared" si="4"/>
        <v>139.49977841647276</v>
      </c>
      <c r="AM28" s="59">
        <f t="shared" si="5"/>
        <v>432.83311174980611</v>
      </c>
      <c r="AN28" s="59">
        <f ca="1">AVERAGE(OFFSET($AM$3,0,0,'Données projet'!$E$10+1,1))-AVERAGE(OFFSET($H$3,0,0,'Données projet'!$E$10+1,1))</f>
        <v>276.71735592065937</v>
      </c>
      <c r="AO28" s="59">
        <f t="shared" si="36"/>
        <v>159.98571289571038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19.875000000000007</v>
      </c>
      <c r="N29" s="13">
        <f>IF('Données projet'!$A$36&gt;35,N28+M29-V28,IF(A29&lt;'Données projet'!$A$36,$K$205^A29,IF(A29='Données projet'!$A$36,'Données projet'!$B$36,N28+M29-V28)))</f>
        <v>194.05</v>
      </c>
      <c r="O29" s="13">
        <f>N29*VLOOKUP('Données projet'!$B$9,Paramètres!$A$1:$I$89,3,0)*VLOOKUP('Données projet'!$B$9,Paramètres!$A$1:$I$89,5,0)</f>
        <v>116.04190000000001</v>
      </c>
      <c r="P29" s="13">
        <f t="shared" si="33"/>
        <v>30.750043154423295</v>
      </c>
      <c r="Q29" s="20">
        <f t="shared" si="2"/>
        <v>255.66263432728726</v>
      </c>
      <c r="R29" s="59">
        <f t="shared" si="0"/>
        <v>548.99596766062064</v>
      </c>
      <c r="S29" s="59">
        <f ca="1">AVERAGE(OFFSET($R$3,0,0,'Données projet'!$E$9+1,1))-AVERAGE(OFFSET($H$3,0,0,'Données projet'!$E$9+1,1))</f>
        <v>252.28378247570731</v>
      </c>
      <c r="T29" s="59">
        <f t="shared" si="34"/>
        <v>263.50418595307343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6.5523665604915733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9.2374176849860774</v>
      </c>
      <c r="AC29" s="22">
        <f t="shared" si="3"/>
        <v>15.789784245477652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6.4</v>
      </c>
      <c r="AI29" s="13">
        <f>IF('Données projet'!$A$62&gt;35,AI28+AH29-AQ28,IF(A29&lt;'Données projet'!$A$62,$AF$205^A29,IF(A29='Données projet'!$A$62,'Données projet'!$B$62,AI28+AH29-AQ28)))</f>
        <v>80.400000000000006</v>
      </c>
      <c r="AJ29" s="13">
        <f>AI29*VLOOKUP('Données projet'!$B$10,Paramètres!$A$1:$I$89,3,0)*VLOOKUP('Données projet'!$B$10,Paramètres!$A$1:$I$89,5,0)</f>
        <v>67.728960000000015</v>
      </c>
      <c r="AK29" s="13">
        <f t="shared" si="35"/>
        <v>19.108400305729717</v>
      </c>
      <c r="AL29" s="20">
        <f t="shared" si="4"/>
        <v>151.24173586581261</v>
      </c>
      <c r="AM29" s="59">
        <f t="shared" si="5"/>
        <v>444.5750691991459</v>
      </c>
      <c r="AN29" s="59">
        <f ca="1">AVERAGE(OFFSET($AM$3,0,0,'Données projet'!$E$10+1,1))-AVERAGE(OFFSET($H$3,0,0,'Données projet'!$E$10+1,1))</f>
        <v>276.71735592065937</v>
      </c>
      <c r="AO29" s="59">
        <f t="shared" si="36"/>
        <v>159.98571289571038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19.875000000000007</v>
      </c>
      <c r="N30" s="13">
        <f>IF('Données projet'!$A$36&gt;35,N29+M30-V29,IF(A30&lt;'Données projet'!$A$36,$K$205^A30,IF(A30='Données projet'!$A$36,'Données projet'!$B$36,N29+M30-V29)))</f>
        <v>213.92500000000001</v>
      </c>
      <c r="O30" s="13">
        <f>N30*VLOOKUP('Données projet'!$B$9,Paramètres!$A$1:$I$89,3,0)*VLOOKUP('Données projet'!$B$9,Paramètres!$A$1:$I$89,5,0)</f>
        <v>127.92715000000001</v>
      </c>
      <c r="P30" s="13">
        <f t="shared" si="33"/>
        <v>33.51693740969332</v>
      </c>
      <c r="Q30" s="20">
        <f t="shared" si="2"/>
        <v>281.18178557188253</v>
      </c>
      <c r="R30" s="59">
        <f t="shared" si="0"/>
        <v>574.51511890521579</v>
      </c>
      <c r="S30" s="59">
        <f ca="1">AVERAGE(OFFSET($R$3,0,0,'Données projet'!$E$9+1,1))-AVERAGE(OFFSET($H$3,0,0,'Données projet'!$E$9+1,1))</f>
        <v>252.28378247570731</v>
      </c>
      <c r="T30" s="59">
        <f t="shared" si="34"/>
        <v>263.50418595307343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6.4238786487893087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6.5318406857061948</v>
      </c>
      <c r="AC30" s="22">
        <f t="shared" si="3"/>
        <v>12.955719334495504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6.4</v>
      </c>
      <c r="AI30" s="13">
        <f>IF('Données projet'!$A$62&gt;35,AI29+AH30-AQ29,IF(A30&lt;'Données projet'!$A$62,$AF$205^A30,IF(A30='Données projet'!$A$62,'Données projet'!$B$62,AI29+AH30-AQ29)))</f>
        <v>86.800000000000011</v>
      </c>
      <c r="AJ30" s="13">
        <f>AI30*VLOOKUP('Données projet'!$B$10,Paramètres!$A$1:$I$89,3,0)*VLOOKUP('Données projet'!$B$10,Paramètres!$A$1:$I$89,5,0)</f>
        <v>73.120320000000007</v>
      </c>
      <c r="AK30" s="13">
        <f t="shared" si="35"/>
        <v>20.446365280074801</v>
      </c>
      <c r="AL30" s="20">
        <f t="shared" si="4"/>
        <v>162.96197686279694</v>
      </c>
      <c r="AM30" s="59">
        <f t="shared" si="5"/>
        <v>456.29531019613023</v>
      </c>
      <c r="AN30" s="59">
        <f ca="1">AVERAGE(OFFSET($AM$3,0,0,'Données projet'!$E$10+1,1))-AVERAGE(OFFSET($H$3,0,0,'Données projet'!$E$10+1,1))</f>
        <v>276.71735592065937</v>
      </c>
      <c r="AO30" s="59">
        <f t="shared" si="36"/>
        <v>159.98571289571038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233.8</v>
      </c>
      <c r="L31" s="12">
        <f>VLOOKUP(A31,'Données projet'!$A$35:$I$55,9,0)</f>
        <v>19.875000000000007</v>
      </c>
      <c r="M31" s="12">
        <f t="array" ref="M31">INDEX(L:L,MIN(IF(ISNUMBER(L31:L227),ROW(L31:L227),"")))</f>
        <v>19.875000000000007</v>
      </c>
      <c r="N31" s="13">
        <f>IF('Données projet'!$A$36&gt;35,N30+M31-V30,IF(A31&lt;'Données projet'!$A$36,$K$205^A31,IF(A31='Données projet'!$A$36,'Données projet'!$B$36,N30+M31-V30)))</f>
        <v>233.8</v>
      </c>
      <c r="O31" s="13">
        <f>N31*VLOOKUP('Données projet'!$B$9,Paramètres!$A$1:$I$89,3,0)*VLOOKUP('Données projet'!$B$9,Paramètres!$A$1:$I$89,5,0)</f>
        <v>139.81240000000003</v>
      </c>
      <c r="P31" s="13">
        <f t="shared" si="33"/>
        <v>36.254025616047976</v>
      </c>
      <c r="Q31" s="20">
        <f t="shared" si="2"/>
        <v>306.64902461461696</v>
      </c>
      <c r="R31" s="59">
        <f t="shared" si="0"/>
        <v>599.98235794795028</v>
      </c>
      <c r="S31" s="59">
        <f ca="1">AVERAGE(OFFSET($R$3,0,0,'Données projet'!$E$9+1,1))-AVERAGE(OFFSET($H$3,0,0,'Données projet'!$E$9+1,1))</f>
        <v>252.28378247570731</v>
      </c>
      <c r="T31" s="59">
        <f t="shared" si="34"/>
        <v>263.50418595307343</v>
      </c>
      <c r="U31" s="15">
        <f>IF(ISNA(VLOOKUP(A31,'Données projet'!$A$35:$I$55,3,0)),0,VLOOKUP(A31,'Données projet'!$A$35:$I$55,3,0))</f>
        <v>5</v>
      </c>
      <c r="V31" s="15">
        <f>IF(ISNA(VLOOKUP(A31,'Données projet'!$A$35:$I$55,4,0)),0,VLOOKUP(A31,'Données projet'!$A$35:$I$55,4,0))</f>
        <v>41.4</v>
      </c>
      <c r="W31" s="16">
        <f>IF(ISNA(VLOOKUP(A31,'Données projet'!$A$35:$I$55,5,0)),0%,VLOOKUP(A31,'Données projet'!$A$35:$I$55,5,0)*VLOOKUP('Données projet'!$B$9,Paramètres!$A$1:$I$89,7,0))</f>
        <v>0.22500000000000001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13.68736515231239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15.831069417021927</v>
      </c>
      <c r="AC31" s="22">
        <f t="shared" si="3"/>
        <v>29.518434569334318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6.4</v>
      </c>
      <c r="AI31" s="13">
        <f>IF('Données projet'!$A$62&gt;35,AI30+AH31-AQ30,IF(A31&lt;'Données projet'!$A$62,$AF$205^A31,IF(A31='Données projet'!$A$62,'Données projet'!$B$62,AI30+AH31-AQ30)))</f>
        <v>93.200000000000017</v>
      </c>
      <c r="AJ31" s="13">
        <f>AI31*VLOOKUP('Données projet'!$B$10,Paramètres!$A$1:$I$89,3,0)*VLOOKUP('Données projet'!$B$10,Paramètres!$A$1:$I$89,5,0)</f>
        <v>78.511680000000013</v>
      </c>
      <c r="AK31" s="13">
        <f t="shared" si="35"/>
        <v>21.772885380440794</v>
      </c>
      <c r="AL31" s="20">
        <f t="shared" si="4"/>
        <v>174.66228470426776</v>
      </c>
      <c r="AM31" s="59">
        <f t="shared" si="5"/>
        <v>467.99561803760105</v>
      </c>
      <c r="AN31" s="59">
        <f ca="1">AVERAGE(OFFSET($AM$3,0,0,'Données projet'!$E$10+1,1))-AVERAGE(OFFSET($H$3,0,0,'Données projet'!$E$10+1,1))</f>
        <v>276.71735592065937</v>
      </c>
      <c r="AO31" s="59">
        <f t="shared" si="36"/>
        <v>159.98571289571038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18.700000000000003</v>
      </c>
      <c r="N32" s="13">
        <f>IF('Données projet'!$A$36&gt;35,N31+M32-V31,IF(A32&lt;'Données projet'!$A$36,$K$205^A32,IF(A32='Données projet'!$A$36,'Données projet'!$B$36,N31+M32-V31)))</f>
        <v>211.1</v>
      </c>
      <c r="O32" s="13">
        <f>N32*VLOOKUP('Données projet'!$B$9,Paramètres!$A$1:$I$89,3,0)*VLOOKUP('Données projet'!$B$9,Paramètres!$A$1:$I$89,5,0)</f>
        <v>126.23779999999999</v>
      </c>
      <c r="P32" s="13">
        <f t="shared" si="33"/>
        <v>33.12554513217659</v>
      </c>
      <c r="Q32" s="20">
        <f t="shared" si="2"/>
        <v>277.55782610520754</v>
      </c>
      <c r="R32" s="59">
        <f t="shared" si="0"/>
        <v>570.89115943854085</v>
      </c>
      <c r="S32" s="59">
        <f ca="1">AVERAGE(OFFSET($R$3,0,0,'Données projet'!$E$9+1,1))-AVERAGE(OFFSET($H$3,0,0,'Données projet'!$E$9+1,1))</f>
        <v>252.28378247570731</v>
      </c>
      <c r="T32" s="59">
        <f t="shared" si="34"/>
        <v>263.50418595307343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13.418964270143944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11.194256538211169</v>
      </c>
      <c r="AC32" s="22">
        <f t="shared" si="3"/>
        <v>24.613220808355113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6.4</v>
      </c>
      <c r="AI32" s="13">
        <f>IF('Données projet'!$A$62&gt;35,AI31+AH32-AQ31,IF(A32&lt;'Données projet'!$A$62,$AF$205^A32,IF(A32='Données projet'!$A$62,'Données projet'!$B$62,AI31+AH32-AQ31)))</f>
        <v>99.600000000000023</v>
      </c>
      <c r="AJ32" s="13">
        <f>AI32*VLOOKUP('Données projet'!$B$10,Paramètres!$A$1:$I$89,3,0)*VLOOKUP('Données projet'!$B$10,Paramètres!$A$1:$I$89,5,0)</f>
        <v>83.903040000000018</v>
      </c>
      <c r="AK32" s="13">
        <f t="shared" si="35"/>
        <v>23.088835927079842</v>
      </c>
      <c r="AL32" s="20">
        <f t="shared" si="4"/>
        <v>186.34418390633073</v>
      </c>
      <c r="AM32" s="59">
        <f t="shared" si="5"/>
        <v>479.67751723966404</v>
      </c>
      <c r="AN32" s="59">
        <f ca="1">AVERAGE(OFFSET($AM$3,0,0,'Données projet'!$E$10+1,1))-AVERAGE(OFFSET($H$3,0,0,'Données projet'!$E$10+1,1))</f>
        <v>276.71735592065937</v>
      </c>
      <c r="AO32" s="59">
        <f t="shared" si="36"/>
        <v>159.98571289571038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18.700000000000003</v>
      </c>
      <c r="N33" s="13">
        <f>IF('Données projet'!$A$36&gt;35,N32+M33-V32,IF(A33&lt;'Données projet'!$A$36,$K$205^A33,IF(A33='Données projet'!$A$36,'Données projet'!$B$36,N32+M33-V32)))</f>
        <v>229.8</v>
      </c>
      <c r="O33" s="13">
        <f>N33*VLOOKUP('Données projet'!$B$9,Paramètres!$A$1:$I$89,3,0)*VLOOKUP('Données projet'!$B$9,Paramètres!$A$1:$I$89,5,0)</f>
        <v>137.42040000000003</v>
      </c>
      <c r="P33" s="13">
        <f t="shared" si="33"/>
        <v>35.705417249692559</v>
      </c>
      <c r="Q33" s="20">
        <f t="shared" si="2"/>
        <v>301.52746504321459</v>
      </c>
      <c r="R33" s="59">
        <f t="shared" si="0"/>
        <v>594.8607983765479</v>
      </c>
      <c r="S33" s="59">
        <f ca="1">AVERAGE(OFFSET($R$3,0,0,'Données projet'!$E$9+1,1))-AVERAGE(OFFSET($H$3,0,0,'Données projet'!$E$9+1,1))</f>
        <v>252.28378247570731</v>
      </c>
      <c r="T33" s="59">
        <f t="shared" si="34"/>
        <v>263.50418595307343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13.155826565566448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7.9155347085109646</v>
      </c>
      <c r="AC33" s="22">
        <f t="shared" si="3"/>
        <v>21.071361274077411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106</v>
      </c>
      <c r="AG33" s="12">
        <f>VLOOKUP(A33,'Données projet'!$A$61:$I$81,9,0)</f>
        <v>6.4</v>
      </c>
      <c r="AH33" s="12">
        <f t="array" ref="AH33">INDEX(AG:AG,MIN(IF(ISNUMBER(AG33:AG229),ROW(AG33:AG229),"")))</f>
        <v>6.4</v>
      </c>
      <c r="AI33" s="13">
        <f>IF('Données projet'!$A$62&gt;35,AI32+AH33-AQ32,IF(A33&lt;'Données projet'!$A$62,$AF$205^A33,IF(A33='Données projet'!$A$62,'Données projet'!$B$62,AI32+AH33-AQ32)))</f>
        <v>106.00000000000003</v>
      </c>
      <c r="AJ33" s="13">
        <f>AI33*VLOOKUP('Données projet'!$B$10,Paramètres!$A$1:$I$89,3,0)*VLOOKUP('Données projet'!$B$10,Paramètres!$A$1:$I$89,5,0)</f>
        <v>89.294400000000024</v>
      </c>
      <c r="AK33" s="13">
        <f t="shared" si="35"/>
        <v>24.394973389005663</v>
      </c>
      <c r="AL33" s="20">
        <f t="shared" si="4"/>
        <v>198.00899198585157</v>
      </c>
      <c r="AM33" s="59">
        <f t="shared" si="5"/>
        <v>491.34232531918485</v>
      </c>
      <c r="AN33" s="59">
        <f ca="1">AVERAGE(OFFSET($AM$3,0,0,'Données projet'!$E$10+1,1))-AVERAGE(OFFSET($H$3,0,0,'Données projet'!$E$10+1,1))</f>
        <v>276.71735592065937</v>
      </c>
      <c r="AO33" s="59">
        <f t="shared" si="36"/>
        <v>159.98571289571038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29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18.700000000000003</v>
      </c>
      <c r="N34" s="13">
        <f>IF('Données projet'!$A$36&gt;35,N33+M34-V33,IF(A34&lt;'Données projet'!$A$36,$K$205^A34,IF(A34='Données projet'!$A$36,'Données projet'!$B$36,N33+M34-V33)))</f>
        <v>248.5</v>
      </c>
      <c r="O34" s="13">
        <f>N34*VLOOKUP('Données projet'!$B$9,Paramètres!$A$1:$I$89,3,0)*VLOOKUP('Données projet'!$B$9,Paramètres!$A$1:$I$89,5,0)</f>
        <v>148.60300000000001</v>
      </c>
      <c r="P34" s="13">
        <f t="shared" si="33"/>
        <v>38.260939676613795</v>
      </c>
      <c r="Q34" s="20">
        <f t="shared" si="2"/>
        <v>325.45469493676904</v>
      </c>
      <c r="R34" s="59">
        <f t="shared" si="0"/>
        <v>618.78802827010236</v>
      </c>
      <c r="S34" s="59">
        <f ca="1">AVERAGE(OFFSET($R$3,0,0,'Données projet'!$E$9+1,1))-AVERAGE(OFFSET($H$3,0,0,'Données projet'!$E$9+1,1))</f>
        <v>252.28378247570731</v>
      </c>
      <c r="T34" s="59">
        <f t="shared" si="34"/>
        <v>263.50418595307343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12.897848830877566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5.5971282691055855</v>
      </c>
      <c r="AC34" s="22">
        <f t="shared" si="3"/>
        <v>18.494977099983153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8.1</v>
      </c>
      <c r="AI34" s="13">
        <f>IF('Données projet'!$A$62&gt;35,AI33+AH34-AQ33,IF(A34&lt;'Données projet'!$A$62,$AF$205^A34,IF(A34='Données projet'!$A$62,'Données projet'!$B$62,AI33+AH34-AQ33)))</f>
        <v>85.100000000000023</v>
      </c>
      <c r="AJ34" s="13">
        <f>AI34*VLOOKUP('Données projet'!$B$10,Paramètres!$A$1:$I$89,3,0)*VLOOKUP('Données projet'!$B$10,Paramètres!$A$1:$I$89,5,0)</f>
        <v>71.688240000000022</v>
      </c>
      <c r="AK34" s="13">
        <f t="shared" si="35"/>
        <v>20.092123799687116</v>
      </c>
      <c r="AL34" s="20">
        <f t="shared" si="4"/>
        <v>159.85080028445509</v>
      </c>
      <c r="AM34" s="59">
        <f t="shared" si="5"/>
        <v>453.1841336177884</v>
      </c>
      <c r="AN34" s="59">
        <f ca="1">AVERAGE(OFFSET($AM$3,0,0,'Données projet'!$E$10+1,1))-AVERAGE(OFFSET($H$3,0,0,'Données projet'!$E$10+1,1))</f>
        <v>276.71735592065937</v>
      </c>
      <c r="AO34" s="59">
        <f t="shared" si="36"/>
        <v>159.98571289571038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18.700000000000003</v>
      </c>
      <c r="N35" s="13">
        <f>IF('Données projet'!$A$36&gt;35,N34+M35-V34,IF(A35&lt;'Données projet'!$A$36,$K$205^A35,IF(A35='Données projet'!$A$36,'Données projet'!$B$36,N34+M35-V34)))</f>
        <v>267.2</v>
      </c>
      <c r="O35" s="13">
        <f>N35*VLOOKUP('Données projet'!$B$9,Paramètres!$A$1:$I$89,3,0)*VLOOKUP('Données projet'!$B$9,Paramètres!$A$1:$I$89,5,0)</f>
        <v>159.78560000000002</v>
      </c>
      <c r="P35" s="13">
        <f t="shared" si="33"/>
        <v>40.794153114967841</v>
      </c>
      <c r="Q35" s="20">
        <f t="shared" ref="Q35:Q66" si="53">(O35+P35)*0.475*44/12</f>
        <v>349.34307000856893</v>
      </c>
      <c r="R35" s="59">
        <f t="shared" si="0"/>
        <v>642.67640334190219</v>
      </c>
      <c r="S35" s="59">
        <f ca="1">AVERAGE(OFFSET($R$3,0,0,'Données projet'!$E$9+1,1))-AVERAGE(OFFSET($H$3,0,0,'Données projet'!$E$9+1,1))</f>
        <v>252.28378247570731</v>
      </c>
      <c r="T35" s="59">
        <f t="shared" si="34"/>
        <v>263.50418595307343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12.644929882215051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3.9577673542554832</v>
      </c>
      <c r="AC35" s="22">
        <f t="shared" si="3"/>
        <v>16.602697236470533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8.1</v>
      </c>
      <c r="AI35" s="13">
        <f>IF('Données projet'!$A$62&gt;35,AI34+AH35-AQ34,IF(A35&lt;'Données projet'!$A$62,$AF$205^A35,IF(A35='Données projet'!$A$62,'Données projet'!$B$62,AI34+AH35-AQ34)))</f>
        <v>93.200000000000017</v>
      </c>
      <c r="AJ35" s="13">
        <f>AI35*VLOOKUP('Données projet'!$B$10,Paramètres!$A$1:$I$89,3,0)*VLOOKUP('Données projet'!$B$10,Paramètres!$A$1:$I$89,5,0)</f>
        <v>78.511680000000013</v>
      </c>
      <c r="AK35" s="13">
        <f t="shared" si="35"/>
        <v>21.772885380440794</v>
      </c>
      <c r="AL35" s="20">
        <f t="shared" si="4"/>
        <v>174.66228470426776</v>
      </c>
      <c r="AM35" s="59">
        <f t="shared" si="5"/>
        <v>467.99561803760105</v>
      </c>
      <c r="AN35" s="59">
        <f ca="1">AVERAGE(OFFSET($AM$3,0,0,'Données projet'!$E$10+1,1))-AVERAGE(OFFSET($H$3,0,0,'Données projet'!$E$10+1,1))</f>
        <v>276.71735592065937</v>
      </c>
      <c r="AO35" s="59">
        <f t="shared" si="36"/>
        <v>159.98571289571038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18.700000000000003</v>
      </c>
      <c r="N36" s="13">
        <f>IF('Données projet'!$A$36&gt;35,N35+M36-V35,IF(A36&lt;'Données projet'!$A$36,$K$205^A36,IF(A36='Données projet'!$A$36,'Données projet'!$B$36,N35+M36-V35)))</f>
        <v>285.89999999999998</v>
      </c>
      <c r="O36" s="13">
        <f>N36*VLOOKUP('Données projet'!$B$9,Paramètres!$A$1:$I$89,3,0)*VLOOKUP('Données projet'!$B$9,Paramètres!$A$1:$I$89,5,0)</f>
        <v>170.9682</v>
      </c>
      <c r="P36" s="13">
        <f t="shared" si="33"/>
        <v>43.306796452755975</v>
      </c>
      <c r="Q36" s="20">
        <f t="shared" si="53"/>
        <v>373.19561882188333</v>
      </c>
      <c r="R36" s="59">
        <f t="shared" si="0"/>
        <v>666.52895215521664</v>
      </c>
      <c r="S36" s="59">
        <f ca="1">AVERAGE(OFFSET($R$3,0,0,'Données projet'!$E$9+1,1))-AVERAGE(OFFSET($H$3,0,0,'Données projet'!$E$9+1,1))</f>
        <v>252.28378247570731</v>
      </c>
      <c r="T36" s="59">
        <f t="shared" si="34"/>
        <v>263.50418595307343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12.39697051987048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2.7985641345527932</v>
      </c>
      <c r="AC36" s="22">
        <f t="shared" si="3"/>
        <v>15.195534654423273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8.1</v>
      </c>
      <c r="AI36" s="13">
        <f>IF('Données projet'!$A$62&gt;35,AI35+AH36-AQ35,IF(A36&lt;'Données projet'!$A$62,$AF$205^A36,IF(A36='Données projet'!$A$62,'Données projet'!$B$62,AI35+AH36-AQ35)))</f>
        <v>101.30000000000001</v>
      </c>
      <c r="AJ36" s="13">
        <f>AI36*VLOOKUP('Données projet'!$B$10,Paramètres!$A$1:$I$89,3,0)*VLOOKUP('Données projet'!$B$10,Paramètres!$A$1:$I$89,5,0)</f>
        <v>85.335120000000018</v>
      </c>
      <c r="AK36" s="13">
        <f t="shared" si="35"/>
        <v>23.436707078859101</v>
      </c>
      <c r="AL36" s="20">
        <f t="shared" si="4"/>
        <v>189.44426549567962</v>
      </c>
      <c r="AM36" s="59">
        <f t="shared" si="5"/>
        <v>482.77759882901296</v>
      </c>
      <c r="AN36" s="59">
        <f ca="1">AVERAGE(OFFSET($AM$3,0,0,'Données projet'!$E$10+1,1))-AVERAGE(OFFSET($H$3,0,0,'Données projet'!$E$10+1,1))</f>
        <v>276.71735592065937</v>
      </c>
      <c r="AO36" s="59">
        <f t="shared" si="36"/>
        <v>159.98571289571038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304.60000000000002</v>
      </c>
      <c r="L37" s="12">
        <f>VLOOKUP(A37,'Données projet'!$A$35:$I$55,9,0)</f>
        <v>18.700000000000003</v>
      </c>
      <c r="M37" s="12">
        <f t="array" ref="M37">INDEX(L:L,MIN(IF(ISNUMBER(L37:L233),ROW(L37:L233),"")))</f>
        <v>18.700000000000003</v>
      </c>
      <c r="N37" s="13">
        <f>IF('Données projet'!$A$36&gt;35,N36+M37-V36,IF(A37&lt;'Données projet'!$A$36,$K$205^A37,IF(A37='Données projet'!$A$36,'Données projet'!$B$36,N36+M37-V36)))</f>
        <v>304.59999999999997</v>
      </c>
      <c r="O37" s="13">
        <f>N37*VLOOKUP('Données projet'!$B$9,Paramètres!$A$1:$I$89,3,0)*VLOOKUP('Données projet'!$B$9,Paramètres!$A$1:$I$89,5,0)</f>
        <v>182.15079999999998</v>
      </c>
      <c r="P37" s="13">
        <f t="shared" si="33"/>
        <v>45.800368240506849</v>
      </c>
      <c r="Q37" s="20">
        <f t="shared" si="53"/>
        <v>397.01495135221603</v>
      </c>
      <c r="R37" s="59">
        <f t="shared" si="0"/>
        <v>690.34828468554929</v>
      </c>
      <c r="S37" s="59">
        <f ca="1">AVERAGE(OFFSET($R$3,0,0,'Données projet'!$E$9+1,1))-AVERAGE(OFFSET($H$3,0,0,'Données projet'!$E$9+1,1))</f>
        <v>252.28378247570731</v>
      </c>
      <c r="T37" s="59">
        <f t="shared" si="34"/>
        <v>263.50418595307343</v>
      </c>
      <c r="U37" s="15">
        <f>IF(ISNA(VLOOKUP(A37,'Données projet'!$A$35:$I$55,3,0)),0,VLOOKUP(A37,'Données projet'!$A$35:$I$55,3,0))</f>
        <v>6</v>
      </c>
      <c r="V37" s="15">
        <f>IF(ISNA(VLOOKUP(A37,'Données projet'!$A$35:$I$55,4,0)),0,VLOOKUP(A37,'Données projet'!$A$35:$I$55,4,0))</f>
        <v>59.9</v>
      </c>
      <c r="W37" s="16">
        <f>IF(ISNA(VLOOKUP(A37,'Données projet'!$A$35:$I$55,5,0)),0%,VLOOKUP(A37,'Données projet'!$A$35:$I$55,5,0)*VLOOKUP('Données projet'!$B$9,Paramètres!$A$1:$I$89,7,0))</f>
        <v>0.315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27.121981783002866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10.090241145899245</v>
      </c>
      <c r="AC37" s="22">
        <f t="shared" si="3"/>
        <v>37.212222928902108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8.1</v>
      </c>
      <c r="AI37" s="13">
        <f>IF('Données projet'!$A$62&gt;35,AI36+AH37-AQ36,IF(A37&lt;'Données projet'!$A$62,$AF$205^A37,IF(A37='Données projet'!$A$62,'Données projet'!$B$62,AI36+AH37-AQ36)))</f>
        <v>109.4</v>
      </c>
      <c r="AJ37" s="13">
        <f>AI37*VLOOKUP('Données projet'!$B$10,Paramètres!$A$1:$I$89,3,0)*VLOOKUP('Données projet'!$B$10,Paramètres!$A$1:$I$89,5,0)</f>
        <v>92.158560000000008</v>
      </c>
      <c r="AK37" s="13">
        <f t="shared" si="35"/>
        <v>25.085097413492189</v>
      </c>
      <c r="AL37" s="20">
        <f t="shared" si="4"/>
        <v>204.1993699951656</v>
      </c>
      <c r="AM37" s="59">
        <f t="shared" si="5"/>
        <v>497.53270332849888</v>
      </c>
      <c r="AN37" s="59">
        <f ca="1">AVERAGE(OFFSET($AM$3,0,0,'Données projet'!$E$10+1,1))-AVERAGE(OFFSET($H$3,0,0,'Données projet'!$E$10+1,1))</f>
        <v>276.71735592065937</v>
      </c>
      <c r="AO37" s="59">
        <f t="shared" si="36"/>
        <v>159.98571289571038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14.85</v>
      </c>
      <c r="N38" s="13">
        <f>IF('Données projet'!$A$36&gt;35,N37+M38-V37,IF(A38&lt;'Données projet'!$A$36,$K$205^A38,IF(A38='Données projet'!$A$36,'Données projet'!$B$36,N37+M38-V37)))</f>
        <v>259.55</v>
      </c>
      <c r="O38" s="13">
        <f>N38*VLOOKUP('Données projet'!$B$9,Paramètres!$A$1:$I$89,3,0)*VLOOKUP('Données projet'!$B$9,Paramètres!$A$1:$I$89,5,0)</f>
        <v>155.21090000000004</v>
      </c>
      <c r="P38" s="13">
        <f t="shared" si="33"/>
        <v>39.760417498033199</v>
      </c>
      <c r="Q38" s="20">
        <f t="shared" si="53"/>
        <v>339.57504464240793</v>
      </c>
      <c r="R38" s="59">
        <f t="shared" si="0"/>
        <v>632.90837797574125</v>
      </c>
      <c r="S38" s="59">
        <f ca="1">AVERAGE(OFFSET($R$3,0,0,'Données projet'!$E$9+1,1))-AVERAGE(OFFSET($H$3,0,0,'Données projet'!$E$9+1,1))</f>
        <v>252.28378247570731</v>
      </c>
      <c r="T38" s="59">
        <f t="shared" si="34"/>
        <v>263.50418595307343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26.590136263013605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7.1348779380728766</v>
      </c>
      <c r="AC38" s="22">
        <f t="shared" si="3"/>
        <v>33.725014201086481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8.1</v>
      </c>
      <c r="AI38" s="13">
        <f>IF('Données projet'!$A$62&gt;35,AI37+AH38-AQ37,IF(A38&lt;'Données projet'!$A$62,$AF$205^A38,IF(A38='Données projet'!$A$62,'Données projet'!$B$62,AI37+AH38-AQ37)))</f>
        <v>117.5</v>
      </c>
      <c r="AJ38" s="13">
        <f>AI38*VLOOKUP('Données projet'!$B$10,Paramètres!$A$1:$I$89,3,0)*VLOOKUP('Données projet'!$B$10,Paramètres!$A$1:$I$89,5,0)</f>
        <v>98.982000000000014</v>
      </c>
      <c r="AK38" s="13">
        <f t="shared" si="35"/>
        <v>26.719328849010743</v>
      </c>
      <c r="AL38" s="20">
        <f t="shared" si="4"/>
        <v>218.92981441202707</v>
      </c>
      <c r="AM38" s="59">
        <f t="shared" si="5"/>
        <v>512.26314774536036</v>
      </c>
      <c r="AN38" s="59">
        <f ca="1">AVERAGE(OFFSET($AM$3,0,0,'Données projet'!$E$10+1,1))-AVERAGE(OFFSET($H$3,0,0,'Données projet'!$E$10+1,1))</f>
        <v>276.71735592065937</v>
      </c>
      <c r="AO38" s="59">
        <f t="shared" si="36"/>
        <v>159.98571289571038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14.85</v>
      </c>
      <c r="N39" s="13">
        <f>IF('Données projet'!$A$36&gt;35,N38+M39-V38,IF(A39&lt;'Données projet'!$A$36,$K$205^A39,IF(A39='Données projet'!$A$36,'Données projet'!$B$36,N38+M39-V38)))</f>
        <v>274.40000000000003</v>
      </c>
      <c r="O39" s="13">
        <f>N39*VLOOKUP('Données projet'!$B$9,Paramètres!$A$1:$I$89,3,0)*VLOOKUP('Données projet'!$B$9,Paramètres!$A$1:$I$89,5,0)</f>
        <v>164.09120000000001</v>
      </c>
      <c r="P39" s="13">
        <f t="shared" si="33"/>
        <v>41.763936620208121</v>
      </c>
      <c r="Q39" s="20">
        <f t="shared" si="53"/>
        <v>358.53102961352914</v>
      </c>
      <c r="R39" s="59">
        <f t="shared" si="0"/>
        <v>651.86436294686246</v>
      </c>
      <c r="S39" s="59">
        <f ca="1">AVERAGE(OFFSET($R$3,0,0,'Données projet'!$E$9+1,1))-AVERAGE(OFFSET($H$3,0,0,'Données projet'!$E$9+1,1))</f>
        <v>252.28378247570731</v>
      </c>
      <c r="T39" s="59">
        <f t="shared" si="34"/>
        <v>263.50418595307343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26.068719909277597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5.0451205729496236</v>
      </c>
      <c r="AC39" s="22">
        <f t="shared" si="3"/>
        <v>31.113840482227221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8.1</v>
      </c>
      <c r="AI39" s="13">
        <f>IF('Données projet'!$A$62&gt;35,AI38+AH39-AQ38,IF(A39&lt;'Données projet'!$A$62,$AF$205^A39,IF(A39='Données projet'!$A$62,'Données projet'!$B$62,AI38+AH39-AQ38)))</f>
        <v>125.6</v>
      </c>
      <c r="AJ39" s="13">
        <f>AI39*VLOOKUP('Données projet'!$B$10,Paramètres!$A$1:$I$89,3,0)*VLOOKUP('Données projet'!$B$10,Paramètres!$A$1:$I$89,5,0)</f>
        <v>105.80544</v>
      </c>
      <c r="AK39" s="13">
        <f t="shared" si="35"/>
        <v>28.340488480207107</v>
      </c>
      <c r="AL39" s="20">
        <f t="shared" si="4"/>
        <v>233.6374921030274</v>
      </c>
      <c r="AM39" s="59">
        <f t="shared" si="5"/>
        <v>526.97082543636066</v>
      </c>
      <c r="AN39" s="59">
        <f ca="1">AVERAGE(OFFSET($AM$3,0,0,'Données projet'!$E$10+1,1))-AVERAGE(OFFSET($H$3,0,0,'Données projet'!$E$10+1,1))</f>
        <v>276.71735592065937</v>
      </c>
      <c r="AO39" s="59">
        <f t="shared" si="36"/>
        <v>159.98571289571038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14.85</v>
      </c>
      <c r="N40" s="13">
        <f>IF('Données projet'!$A$36&gt;35,N39+M40-V39,IF(A40&lt;'Données projet'!$A$36,$K$205^A40,IF(A40='Données projet'!$A$36,'Données projet'!$B$36,N39+M40-V39)))</f>
        <v>289.25000000000006</v>
      </c>
      <c r="O40" s="13">
        <f>N40*VLOOKUP('Données projet'!$B$9,Paramètres!$A$1:$I$89,3,0)*VLOOKUP('Données projet'!$B$9,Paramètres!$A$1:$I$89,5,0)</f>
        <v>172.97150000000005</v>
      </c>
      <c r="P40" s="13">
        <f t="shared" si="33"/>
        <v>43.754868068248662</v>
      </c>
      <c r="Q40" s="20">
        <f t="shared" si="53"/>
        <v>377.46509105219985</v>
      </c>
      <c r="R40" s="59">
        <f t="shared" si="0"/>
        <v>670.79842438553317</v>
      </c>
      <c r="S40" s="59">
        <f ca="1">AVERAGE(OFFSET($R$3,0,0,'Données projet'!$E$9+1,1))-AVERAGE(OFFSET($H$3,0,0,'Données projet'!$E$9+1,1))</f>
        <v>252.28378247570731</v>
      </c>
      <c r="T40" s="59">
        <f t="shared" si="34"/>
        <v>263.50418595307343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25.557528212205778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3.5674389690364392</v>
      </c>
      <c r="AC40" s="22">
        <f t="shared" si="3"/>
        <v>29.124967181242216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8.1</v>
      </c>
      <c r="AI40" s="13">
        <f>IF('Données projet'!$A$62&gt;35,AI39+AH40-AQ39,IF(A40&lt;'Données projet'!$A$62,$AF$205^A40,IF(A40='Données projet'!$A$62,'Données projet'!$B$62,AI39+AH40-AQ39)))</f>
        <v>133.69999999999999</v>
      </c>
      <c r="AJ40" s="13">
        <f>AI40*VLOOKUP('Données projet'!$B$10,Paramètres!$A$1:$I$89,3,0)*VLOOKUP('Données projet'!$B$10,Paramètres!$A$1:$I$89,5,0)</f>
        <v>112.62888</v>
      </c>
      <c r="AK40" s="13">
        <f t="shared" si="35"/>
        <v>29.949515259219663</v>
      </c>
      <c r="AL40" s="20">
        <f t="shared" si="4"/>
        <v>248.3240384098076</v>
      </c>
      <c r="AM40" s="59">
        <f t="shared" si="5"/>
        <v>541.65737174314086</v>
      </c>
      <c r="AN40" s="59">
        <f ca="1">AVERAGE(OFFSET($AM$3,0,0,'Données projet'!$E$10+1,1))-AVERAGE(OFFSET($H$3,0,0,'Données projet'!$E$10+1,1))</f>
        <v>276.71735592065937</v>
      </c>
      <c r="AO40" s="59">
        <f t="shared" si="36"/>
        <v>159.98571289571038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14.85</v>
      </c>
      <c r="N41" s="13">
        <f>IF('Données projet'!$A$36&gt;35,N40+M41-V40,IF(A41&lt;'Données projet'!$A$36,$K$205^A41,IF(A41='Données projet'!$A$36,'Données projet'!$B$36,N40+M41-V40)))</f>
        <v>304.10000000000008</v>
      </c>
      <c r="O41" s="13">
        <f>N41*VLOOKUP('Données projet'!$B$9,Paramètres!$A$1:$I$89,3,0)*VLOOKUP('Données projet'!$B$9,Paramètres!$A$1:$I$89,5,0)</f>
        <v>181.85180000000008</v>
      </c>
      <c r="P41" s="13">
        <f t="shared" si="33"/>
        <v>45.7339318091677</v>
      </c>
      <c r="Q41" s="20">
        <f t="shared" si="53"/>
        <v>396.37848290096719</v>
      </c>
      <c r="R41" s="59">
        <f t="shared" si="0"/>
        <v>689.7118162343005</v>
      </c>
      <c r="S41" s="59">
        <f ca="1">AVERAGE(OFFSET($R$3,0,0,'Données projet'!$E$9+1,1))-AVERAGE(OFFSET($H$3,0,0,'Données projet'!$E$9+1,1))</f>
        <v>252.28378247570731</v>
      </c>
      <c r="T41" s="59">
        <f t="shared" si="34"/>
        <v>263.50418595307343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25.056360672517389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2.5225602864748122</v>
      </c>
      <c r="AC41" s="22">
        <f t="shared" si="3"/>
        <v>27.5789209589922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8.1</v>
      </c>
      <c r="AI41" s="13">
        <f>IF('Données projet'!$A$62&gt;35,AI40+AH41-AQ40,IF(A41&lt;'Données projet'!$A$62,$AF$205^A41,IF(A41='Données projet'!$A$62,'Données projet'!$B$62,AI40+AH41-AQ40)))</f>
        <v>141.79999999999998</v>
      </c>
      <c r="AJ41" s="13">
        <f>AI41*VLOOKUP('Données projet'!$B$10,Paramètres!$A$1:$I$89,3,0)*VLOOKUP('Données projet'!$B$10,Paramètres!$A$1:$I$89,5,0)</f>
        <v>119.45232000000001</v>
      </c>
      <c r="AK41" s="13">
        <f t="shared" si="35"/>
        <v>31.547227940070158</v>
      </c>
      <c r="AL41" s="20">
        <f t="shared" si="4"/>
        <v>262.99087932895549</v>
      </c>
      <c r="AM41" s="59">
        <f t="shared" si="5"/>
        <v>556.3242126622888</v>
      </c>
      <c r="AN41" s="59">
        <f ca="1">AVERAGE(OFFSET($AM$3,0,0,'Données projet'!$E$10+1,1))-AVERAGE(OFFSET($H$3,0,0,'Données projet'!$E$10+1,1))</f>
        <v>276.71735592065937</v>
      </c>
      <c r="AO41" s="59">
        <f t="shared" si="36"/>
        <v>159.98571289571038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14.85</v>
      </c>
      <c r="N42" s="13">
        <f>IF('Données projet'!$A$36&gt;35,N41+M42-V41,IF(A42&lt;'Données projet'!$A$36,$K$205^A42,IF(A42='Données projet'!$A$36,'Données projet'!$B$36,N41+M42-V41)))</f>
        <v>318.9500000000001</v>
      </c>
      <c r="O42" s="13">
        <f>N42*VLOOKUP('Données projet'!$B$9,Paramètres!$A$1:$I$89,3,0)*VLOOKUP('Données projet'!$B$9,Paramètres!$A$1:$I$89,5,0)</f>
        <v>190.73210000000006</v>
      </c>
      <c r="P42" s="13">
        <f t="shared" si="33"/>
        <v>47.701773521629008</v>
      </c>
      <c r="Q42" s="20">
        <f t="shared" si="53"/>
        <v>415.27232971683725</v>
      </c>
      <c r="R42" s="59">
        <f t="shared" si="0"/>
        <v>708.60566305017051</v>
      </c>
      <c r="S42" s="59">
        <f ca="1">AVERAGE(OFFSET($R$3,0,0,'Données projet'!$E$9+1,1))-AVERAGE(OFFSET($H$3,0,0,'Données projet'!$E$9+1,1))</f>
        <v>252.28378247570731</v>
      </c>
      <c r="T42" s="59">
        <f t="shared" si="34"/>
        <v>263.50418595307343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24.565020722600273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1.7837194845182198</v>
      </c>
      <c r="AC42" s="22">
        <f t="shared" si="3"/>
        <v>26.348740207118492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8.1</v>
      </c>
      <c r="AI42" s="13">
        <f>IF('Données projet'!$A$62&gt;35,AI41+AH42-AQ41,IF(A42&lt;'Données projet'!$A$62,$AF$205^A42,IF(A42='Données projet'!$A$62,'Données projet'!$B$62,AI41+AH42-AQ41)))</f>
        <v>149.89999999999998</v>
      </c>
      <c r="AJ42" s="13">
        <f>AI42*VLOOKUP('Données projet'!$B$10,Paramètres!$A$1:$I$89,3,0)*VLOOKUP('Données projet'!$B$10,Paramètres!$A$1:$I$89,5,0)</f>
        <v>126.27576000000001</v>
      </c>
      <c r="AK42" s="13">
        <f t="shared" si="35"/>
        <v>33.134346454536818</v>
      </c>
      <c r="AL42" s="20">
        <f t="shared" si="4"/>
        <v>277.63926874165162</v>
      </c>
      <c r="AM42" s="59">
        <f t="shared" si="5"/>
        <v>570.97260207498493</v>
      </c>
      <c r="AN42" s="59">
        <f ca="1">AVERAGE(OFFSET($AM$3,0,0,'Données projet'!$E$10+1,1))-AVERAGE(OFFSET($H$3,0,0,'Données projet'!$E$10+1,1))</f>
        <v>276.71735592065937</v>
      </c>
      <c r="AO42" s="59">
        <f t="shared" si="36"/>
        <v>159.98571289571038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333.8</v>
      </c>
      <c r="L43" s="12">
        <f>VLOOKUP(A43,'Données projet'!$A$35:$I$55,9,0)</f>
        <v>14.85</v>
      </c>
      <c r="M43" s="12">
        <f t="array" ref="M43">INDEX(L:L,MIN(IF(ISNUMBER(L43:L239),ROW(L43:L239),"")))</f>
        <v>14.85</v>
      </c>
      <c r="N43" s="13">
        <f>IF('Données projet'!$A$36&gt;35,N42+M43-V42,IF(A43&lt;'Données projet'!$A$36,$K$205^A43,IF(A43='Données projet'!$A$36,'Données projet'!$B$36,N42+M43-V42)))</f>
        <v>333.80000000000013</v>
      </c>
      <c r="O43" s="13">
        <f>N43*VLOOKUP('Données projet'!$B$9,Paramètres!$A$1:$I$89,3,0)*VLOOKUP('Données projet'!$B$9,Paramètres!$A$1:$I$89,5,0)</f>
        <v>199.61240000000009</v>
      </c>
      <c r="P43" s="13">
        <f t="shared" si="33"/>
        <v>49.658975362033459</v>
      </c>
      <c r="Q43" s="20">
        <f t="shared" si="53"/>
        <v>434.14764542220843</v>
      </c>
      <c r="R43" s="59">
        <f t="shared" si="0"/>
        <v>727.48097875554174</v>
      </c>
      <c r="S43" s="59">
        <f ca="1">AVERAGE(OFFSET($R$3,0,0,'Données projet'!$E$9+1,1))-AVERAGE(OFFSET($H$3,0,0,'Données projet'!$E$9+1,1))</f>
        <v>252.28378247570731</v>
      </c>
      <c r="T43" s="59">
        <f t="shared" si="34"/>
        <v>263.50418595307343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34.1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24.083315649413258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1.2612801432374063</v>
      </c>
      <c r="AC43" s="22">
        <f t="shared" si="3"/>
        <v>25.344595792650665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158</v>
      </c>
      <c r="AG43" s="12">
        <f>VLOOKUP(A43,'Données projet'!$A$61:$I$81,9,0)</f>
        <v>8.1</v>
      </c>
      <c r="AH43" s="12">
        <f t="array" ref="AH43">INDEX(AG:AG,MIN(IF(ISNUMBER(AG43:AG239),ROW(AG43:AG239),"")))</f>
        <v>8.1</v>
      </c>
      <c r="AI43" s="13">
        <f>IF('Données projet'!$A$62&gt;35,AI42+AH43-AQ42,IF(A43&lt;'Données projet'!$A$62,$AF$205^A43,IF(A43='Données projet'!$A$62,'Données projet'!$B$62,AI42+AH43-AQ42)))</f>
        <v>157.99999999999997</v>
      </c>
      <c r="AJ43" s="13">
        <f>AI43*VLOOKUP('Données projet'!$B$10,Paramètres!$A$1:$I$89,3,0)*VLOOKUP('Données projet'!$B$10,Paramètres!$A$1:$I$89,5,0)</f>
        <v>133.0992</v>
      </c>
      <c r="AK43" s="13">
        <f t="shared" si="35"/>
        <v>34.71150853565117</v>
      </c>
      <c r="AL43" s="20">
        <f t="shared" si="4"/>
        <v>292.27031736625912</v>
      </c>
      <c r="AM43" s="59">
        <f t="shared" si="5"/>
        <v>585.60365069959244</v>
      </c>
      <c r="AN43" s="59">
        <f ca="1">AVERAGE(OFFSET($AM$3,0,0,'Données projet'!$E$10+1,1))-AVERAGE(OFFSET($H$3,0,0,'Données projet'!$E$10+1,1))</f>
        <v>276.71735592065937</v>
      </c>
      <c r="AO43" s="59">
        <f t="shared" si="36"/>
        <v>159.98571289571038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42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11.050000000000002</v>
      </c>
      <c r="N44" s="13">
        <f>IF('Données projet'!$A$36&gt;35,N43+M44-V43,IF(A44&lt;'Données projet'!$A$36,$K$205^A44,IF(A44='Données projet'!$A$36,'Données projet'!$B$36,N43+M44-V43)))</f>
        <v>310.75000000000011</v>
      </c>
      <c r="O44" s="13">
        <f>N44*VLOOKUP('Données projet'!$B$9,Paramètres!$A$1:$I$89,3,0)*VLOOKUP('Données projet'!$B$9,Paramètres!$A$1:$I$89,5,0)</f>
        <v>185.82850000000008</v>
      </c>
      <c r="P44" s="13">
        <f t="shared" si="33"/>
        <v>46.616505227631926</v>
      </c>
      <c r="Q44" s="20">
        <f t="shared" si="53"/>
        <v>404.84171743812567</v>
      </c>
      <c r="R44" s="59">
        <f t="shared" si="0"/>
        <v>698.17505077145893</v>
      </c>
      <c r="S44" s="59">
        <f ca="1">AVERAGE(OFFSET($R$3,0,0,'Données projet'!$E$9+1,1))-AVERAGE(OFFSET($H$3,0,0,'Données projet'!$E$9+1,1))</f>
        <v>252.28378247570731</v>
      </c>
      <c r="T44" s="59">
        <f t="shared" si="34"/>
        <v>263.50418595307343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23.611056518900355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0.89185974225911002</v>
      </c>
      <c r="AC44" s="22">
        <f t="shared" si="3"/>
        <v>24.502916261159466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8.4</v>
      </c>
      <c r="AI44" s="13">
        <f>IF('Données projet'!$A$62&gt;35,AI43+AH44-AQ43,IF(A44&lt;'Données projet'!$A$62,$AF$205^A44,IF(A44='Données projet'!$A$62,'Données projet'!$B$62,AI43+AH44-AQ43)))</f>
        <v>124.39999999999998</v>
      </c>
      <c r="AJ44" s="13">
        <f>AI44*VLOOKUP('Données projet'!$B$10,Paramètres!$A$1:$I$89,3,0)*VLOOKUP('Données projet'!$B$10,Paramètres!$A$1:$I$89,5,0)</f>
        <v>104.79455999999999</v>
      </c>
      <c r="AK44" s="13">
        <f t="shared" si="35"/>
        <v>28.101103481959861</v>
      </c>
      <c r="AL44" s="20">
        <f t="shared" si="4"/>
        <v>231.45994723108006</v>
      </c>
      <c r="AM44" s="59">
        <f t="shared" si="5"/>
        <v>524.79328056441341</v>
      </c>
      <c r="AN44" s="59">
        <f ca="1">AVERAGE(OFFSET($AM$3,0,0,'Données projet'!$E$10+1,1))-AVERAGE(OFFSET($H$3,0,0,'Données projet'!$E$10+1,1))</f>
        <v>276.71735592065937</v>
      </c>
      <c r="AO44" s="59">
        <f t="shared" si="36"/>
        <v>159.98571289571038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11.050000000000002</v>
      </c>
      <c r="N45" s="13">
        <f>IF('Données projet'!$A$36&gt;35,N44+M45-V44,IF(A45&lt;'Données projet'!$A$36,$K$205^A45,IF(A45='Données projet'!$A$36,'Données projet'!$B$36,N44+M45-V44)))</f>
        <v>321.80000000000013</v>
      </c>
      <c r="O45" s="13">
        <f>N45*VLOOKUP('Données projet'!$B$9,Paramètres!$A$1:$I$89,3,0)*VLOOKUP('Données projet'!$B$9,Paramètres!$A$1:$I$89,5,0)</f>
        <v>192.43640000000011</v>
      </c>
      <c r="P45" s="13">
        <f t="shared" si="33"/>
        <v>48.07820620284339</v>
      </c>
      <c r="Q45" s="20">
        <f t="shared" si="53"/>
        <v>418.89627246995241</v>
      </c>
      <c r="R45" s="59">
        <f t="shared" si="0"/>
        <v>712.22960580328572</v>
      </c>
      <c r="S45" s="59">
        <f ca="1">AVERAGE(OFFSET($R$3,0,0,'Données projet'!$E$9+1,1))-AVERAGE(OFFSET($H$3,0,0,'Données projet'!$E$9+1,1))</f>
        <v>252.28378247570731</v>
      </c>
      <c r="T45" s="59">
        <f t="shared" si="34"/>
        <v>263.50418595307343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23.148058101887184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0.63064007161870328</v>
      </c>
      <c r="AC45" s="22">
        <f t="shared" si="3"/>
        <v>23.778698173505887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8.4</v>
      </c>
      <c r="AI45" s="13">
        <f>IF('Données projet'!$A$62&gt;35,AI44+AH45-AQ44,IF(A45&lt;'Données projet'!$A$62,$AF$205^A45,IF(A45='Données projet'!$A$62,'Données projet'!$B$62,AI44+AH45-AQ44)))</f>
        <v>132.79999999999998</v>
      </c>
      <c r="AJ45" s="13">
        <f>AI45*VLOOKUP('Données projet'!$B$10,Paramètres!$A$1:$I$89,3,0)*VLOOKUP('Données projet'!$B$10,Paramètres!$A$1:$I$89,5,0)</f>
        <v>111.87071999999999</v>
      </c>
      <c r="AK45" s="13">
        <f t="shared" si="35"/>
        <v>29.771307279851946</v>
      </c>
      <c r="AL45" s="20">
        <f t="shared" si="4"/>
        <v>246.6931975124088</v>
      </c>
      <c r="AM45" s="59">
        <f t="shared" si="5"/>
        <v>540.02653084574217</v>
      </c>
      <c r="AN45" s="59">
        <f ca="1">AVERAGE(OFFSET($AM$3,0,0,'Données projet'!$E$10+1,1))-AVERAGE(OFFSET($H$3,0,0,'Données projet'!$E$10+1,1))</f>
        <v>276.71735592065937</v>
      </c>
      <c r="AO45" s="59">
        <f t="shared" si="36"/>
        <v>159.98571289571038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11.050000000000002</v>
      </c>
      <c r="N46" s="13">
        <f>IF('Données projet'!$A$36&gt;35,N45+M46-V45,IF(A46&lt;'Données projet'!$A$36,$K$205^A46,IF(A46='Données projet'!$A$36,'Données projet'!$B$36,N45+M46-V45)))</f>
        <v>332.85000000000014</v>
      </c>
      <c r="O46" s="13">
        <f>N46*VLOOKUP('Données projet'!$B$9,Paramètres!$A$1:$I$89,3,0)*VLOOKUP('Données projet'!$B$9,Paramètres!$A$1:$I$89,5,0)</f>
        <v>199.04430000000011</v>
      </c>
      <c r="P46" s="13">
        <f t="shared" si="33"/>
        <v>49.534075275146158</v>
      </c>
      <c r="Q46" s="20">
        <f t="shared" si="53"/>
        <v>432.94067027087971</v>
      </c>
      <c r="R46" s="59">
        <f t="shared" si="0"/>
        <v>726.27400360421302</v>
      </c>
      <c r="S46" s="59">
        <f ca="1">AVERAGE(OFFSET($R$3,0,0,'Données projet'!$E$9+1,1))-AVERAGE(OFFSET($H$3,0,0,'Données projet'!$E$9+1,1))</f>
        <v>252.28378247570731</v>
      </c>
      <c r="T46" s="59">
        <f t="shared" si="34"/>
        <v>263.50418595307343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22.694138801430491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0.44592987112955512</v>
      </c>
      <c r="AC46" s="22">
        <f t="shared" si="3"/>
        <v>23.140068672560044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8.4</v>
      </c>
      <c r="AI46" s="13">
        <f>IF('Données projet'!$A$62&gt;35,AI45+AH46-AQ45,IF(A46&lt;'Données projet'!$A$62,$AF$205^A46,IF(A46='Données projet'!$A$62,'Données projet'!$B$62,AI45+AH46-AQ45)))</f>
        <v>141.19999999999999</v>
      </c>
      <c r="AJ46" s="13">
        <f>AI46*VLOOKUP('Données projet'!$B$10,Paramètres!$A$1:$I$89,3,0)*VLOOKUP('Données projet'!$B$10,Paramètres!$A$1:$I$89,5,0)</f>
        <v>118.94688000000001</v>
      </c>
      <c r="AK46" s="13">
        <f t="shared" si="35"/>
        <v>31.429250481525276</v>
      </c>
      <c r="AL46" s="20">
        <f t="shared" si="4"/>
        <v>261.90509392198987</v>
      </c>
      <c r="AM46" s="59">
        <f t="shared" si="5"/>
        <v>555.23842725532313</v>
      </c>
      <c r="AN46" s="59">
        <f ca="1">AVERAGE(OFFSET($AM$3,0,0,'Données projet'!$E$10+1,1))-AVERAGE(OFFSET($H$3,0,0,'Données projet'!$E$10+1,1))</f>
        <v>276.71735592065937</v>
      </c>
      <c r="AO46" s="59">
        <f t="shared" si="36"/>
        <v>159.98571289571038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11.050000000000002</v>
      </c>
      <c r="N47" s="13">
        <f>IF('Données projet'!$A$36&gt;35,N46+M47-V46,IF(A47&lt;'Données projet'!$A$36,$K$205^A47,IF(A47='Données projet'!$A$36,'Données projet'!$B$36,N46+M47-V46)))</f>
        <v>343.90000000000015</v>
      </c>
      <c r="O47" s="13">
        <f>N47*VLOOKUP('Données projet'!$B$9,Paramètres!$A$1:$I$89,3,0)*VLOOKUP('Données projet'!$B$9,Paramètres!$A$1:$I$89,5,0)</f>
        <v>205.65220000000011</v>
      </c>
      <c r="P47" s="13">
        <f t="shared" si="33"/>
        <v>50.984328252291228</v>
      </c>
      <c r="Q47" s="20">
        <f t="shared" si="53"/>
        <v>446.97528670607403</v>
      </c>
      <c r="R47" s="59">
        <f t="shared" si="0"/>
        <v>740.30862003940729</v>
      </c>
      <c r="S47" s="59">
        <f ca="1">AVERAGE(OFFSET($R$3,0,0,'Données projet'!$E$9+1,1))-AVERAGE(OFFSET($H$3,0,0,'Données projet'!$E$9+1,1))</f>
        <v>252.28378247570731</v>
      </c>
      <c r="T47" s="59">
        <f t="shared" si="34"/>
        <v>263.50418595307343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22.249120581592319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0.3153200358093517</v>
      </c>
      <c r="AC47" s="22">
        <f t="shared" si="3"/>
        <v>22.564440617401669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8.4</v>
      </c>
      <c r="AI47" s="13">
        <f>IF('Données projet'!$A$62&gt;35,AI46+AH47-AQ46,IF(A47&lt;'Données projet'!$A$62,$AF$205^A47,IF(A47='Données projet'!$A$62,'Données projet'!$B$62,AI46+AH47-AQ46)))</f>
        <v>149.6</v>
      </c>
      <c r="AJ47" s="13">
        <f>AI47*VLOOKUP('Données projet'!$B$10,Paramètres!$A$1:$I$89,3,0)*VLOOKUP('Données projet'!$B$10,Paramètres!$A$1:$I$89,5,0)</f>
        <v>126.02304000000001</v>
      </c>
      <c r="AK47" s="13">
        <f t="shared" si="35"/>
        <v>33.075745544773369</v>
      </c>
      <c r="AL47" s="20">
        <f t="shared" si="4"/>
        <v>277.09705149048028</v>
      </c>
      <c r="AM47" s="59">
        <f t="shared" si="5"/>
        <v>570.4303848238136</v>
      </c>
      <c r="AN47" s="59">
        <f ca="1">AVERAGE(OFFSET($AM$3,0,0,'Données projet'!$E$10+1,1))-AVERAGE(OFFSET($H$3,0,0,'Données projet'!$E$10+1,1))</f>
        <v>276.71735592065937</v>
      </c>
      <c r="AO47" s="59">
        <f t="shared" si="36"/>
        <v>159.98571289571038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11.050000000000002</v>
      </c>
      <c r="N48" s="13">
        <f>IF('Données projet'!$A$36&gt;35,N47+M48-V47,IF(A48&lt;'Données projet'!$A$36,$K$205^A48,IF(A48='Données projet'!$A$36,'Données projet'!$B$36,N47+M48-V47)))</f>
        <v>354.95000000000016</v>
      </c>
      <c r="O48" s="13">
        <f>N48*VLOOKUP('Données projet'!$B$9,Paramètres!$A$1:$I$89,3,0)*VLOOKUP('Données projet'!$B$9,Paramètres!$A$1:$I$89,5,0)</f>
        <v>212.26010000000011</v>
      </c>
      <c r="P48" s="13">
        <f t="shared" si="33"/>
        <v>52.429166286213409</v>
      </c>
      <c r="Q48" s="20">
        <f t="shared" si="53"/>
        <v>461.00047211515522</v>
      </c>
      <c r="R48" s="59">
        <f t="shared" si="0"/>
        <v>754.33380544848853</v>
      </c>
      <c r="S48" s="59">
        <f ca="1">AVERAGE(OFFSET($R$3,0,0,'Données projet'!$E$9+1,1))-AVERAGE(OFFSET($H$3,0,0,'Données projet'!$E$9+1,1))</f>
        <v>252.28378247570731</v>
      </c>
      <c r="T48" s="59">
        <f t="shared" si="34"/>
        <v>263.50418595307343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21.81282889761086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0.22296493556477759</v>
      </c>
      <c r="AC48" s="22">
        <f t="shared" si="3"/>
        <v>22.035793833175639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8.4</v>
      </c>
      <c r="AI48" s="13">
        <f>IF('Données projet'!$A$62&gt;35,AI47+AH48-AQ47,IF(A48&lt;'Données projet'!$A$62,$AF$205^A48,IF(A48='Données projet'!$A$62,'Données projet'!$B$62,AI47+AH48-AQ47)))</f>
        <v>158</v>
      </c>
      <c r="AJ48" s="13">
        <f>AI48*VLOOKUP('Données projet'!$B$10,Paramètres!$A$1:$I$89,3,0)*VLOOKUP('Données projet'!$B$10,Paramètres!$A$1:$I$89,5,0)</f>
        <v>133.09920000000002</v>
      </c>
      <c r="AK48" s="13">
        <f t="shared" si="35"/>
        <v>34.71150853565117</v>
      </c>
      <c r="AL48" s="20">
        <f t="shared" si="4"/>
        <v>292.27031736625912</v>
      </c>
      <c r="AM48" s="59">
        <f t="shared" si="5"/>
        <v>585.60365069959244</v>
      </c>
      <c r="AN48" s="59">
        <f ca="1">AVERAGE(OFFSET($AM$3,0,0,'Données projet'!$E$10+1,1))-AVERAGE(OFFSET($H$3,0,0,'Données projet'!$E$10+1,1))</f>
        <v>276.71735592065937</v>
      </c>
      <c r="AO48" s="59">
        <f t="shared" si="36"/>
        <v>159.98571289571038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366</v>
      </c>
      <c r="L49" s="12">
        <f>VLOOKUP(A49,'Données projet'!$A$35:$I$55,9,0)</f>
        <v>11.050000000000002</v>
      </c>
      <c r="M49" s="12">
        <f t="array" ref="M49">INDEX(L:L,MIN(IF(ISNUMBER(L49:L245),ROW(L49:L245),"")))</f>
        <v>11.050000000000002</v>
      </c>
      <c r="N49" s="13">
        <f>IF('Données projet'!$A$36&gt;35,N48+M49-V48,IF(A49&lt;'Données projet'!$A$36,$K$205^A49,IF(A49='Données projet'!$A$36,'Données projet'!$B$36,N48+M49-V48)))</f>
        <v>366.00000000000017</v>
      </c>
      <c r="O49" s="13">
        <f>N49*VLOOKUP('Données projet'!$B$9,Paramètres!$A$1:$I$89,3,0)*VLOOKUP('Données projet'!$B$9,Paramètres!$A$1:$I$89,5,0)</f>
        <v>218.86800000000014</v>
      </c>
      <c r="P49" s="13">
        <f t="shared" si="33"/>
        <v>53.868777293257544</v>
      </c>
      <c r="Q49" s="20">
        <f t="shared" si="53"/>
        <v>475.01655378575714</v>
      </c>
      <c r="R49" s="59">
        <f t="shared" si="0"/>
        <v>768.34988711909045</v>
      </c>
      <c r="S49" s="59">
        <f ca="1">AVERAGE(OFFSET($R$3,0,0,'Données projet'!$E$9+1,1))-AVERAGE(OFFSET($H$3,0,0,'Données projet'!$E$9+1,1))</f>
        <v>252.28378247570731</v>
      </c>
      <c r="T49" s="59">
        <f t="shared" si="34"/>
        <v>263.50418595307343</v>
      </c>
      <c r="U49" s="15">
        <f>IF(ISNA(VLOOKUP(A49,'Données projet'!$A$35:$I$55,3,0)),0,VLOOKUP(A49,'Données projet'!$A$35:$I$55,3,0))</f>
        <v>8</v>
      </c>
      <c r="V49" s="15">
        <f>IF(ISNA(VLOOKUP(A49,'Données projet'!$A$35:$I$55,4,0)),0,VLOOKUP(A49,'Données projet'!$A$35:$I$55,4,0))</f>
        <v>21.3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21.385092627440628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0.15766001790467588</v>
      </c>
      <c r="AC49" s="22">
        <f t="shared" si="3"/>
        <v>21.542752645345303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8.4</v>
      </c>
      <c r="AI49" s="13">
        <f>IF('Données projet'!$A$62&gt;35,AI48+AH49-AQ48,IF(A49&lt;'Données projet'!$A$62,$AF$205^A49,IF(A49='Données projet'!$A$62,'Données projet'!$B$62,AI48+AH49-AQ48)))</f>
        <v>166.4</v>
      </c>
      <c r="AJ49" s="13">
        <f>AI49*VLOOKUP('Données projet'!$B$10,Paramètres!$A$1:$I$89,3,0)*VLOOKUP('Données projet'!$B$10,Paramètres!$A$1:$I$89,5,0)</f>
        <v>140.17536000000001</v>
      </c>
      <c r="AK49" s="13">
        <f t="shared" si="35"/>
        <v>36.337175081323657</v>
      </c>
      <c r="AL49" s="20">
        <f t="shared" si="4"/>
        <v>307.42599859997205</v>
      </c>
      <c r="AM49" s="59">
        <f t="shared" si="5"/>
        <v>600.75933193330536</v>
      </c>
      <c r="AN49" s="59">
        <f ca="1">AVERAGE(OFFSET($AM$3,0,0,'Données projet'!$E$10+1,1))-AVERAGE(OFFSET($H$3,0,0,'Données projet'!$E$10+1,1))</f>
        <v>276.71735592065937</v>
      </c>
      <c r="AO49" s="59">
        <f t="shared" si="36"/>
        <v>159.98571289571038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7.3000000000000043</v>
      </c>
      <c r="N50" s="13">
        <f>IF('Données projet'!$A$36&gt;35,N49+M50-V49,IF(A50&lt;'Données projet'!$A$36,$K$205^A50,IF(A50='Données projet'!$A$36,'Données projet'!$B$36,N49+M50-V49)))</f>
        <v>352.00000000000017</v>
      </c>
      <c r="O50" s="13">
        <f>N50*VLOOKUP('Données projet'!$B$9,Paramètres!$A$1:$I$89,3,0)*VLOOKUP('Données projet'!$B$9,Paramètres!$A$1:$I$89,5,0)</f>
        <v>210.49600000000009</v>
      </c>
      <c r="P50" s="13">
        <f t="shared" si="33"/>
        <v>52.043959291168512</v>
      </c>
      <c r="Q50" s="20">
        <f t="shared" si="53"/>
        <v>457.25709576545188</v>
      </c>
      <c r="R50" s="59">
        <f t="shared" si="0"/>
        <v>750.59042909878519</v>
      </c>
      <c r="S50" s="59">
        <f ca="1">AVERAGE(OFFSET($R$3,0,0,'Données projet'!$E$9+1,1))-AVERAGE(OFFSET($H$3,0,0,'Données projet'!$E$9+1,1))</f>
        <v>252.28378247570731</v>
      </c>
      <c r="T50" s="59">
        <f t="shared" si="34"/>
        <v>263.50418595307343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20.96574400463507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0.11148246778238882</v>
      </c>
      <c r="AC50" s="22">
        <f t="shared" si="3"/>
        <v>21.077226472417458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8.4</v>
      </c>
      <c r="AI50" s="13">
        <f>IF('Données projet'!$A$62&gt;35,AI49+AH50-AQ49,IF(A50&lt;'Données projet'!$A$62,$AF$205^A50,IF(A50='Données projet'!$A$62,'Données projet'!$B$62,AI49+AH50-AQ49)))</f>
        <v>174.8</v>
      </c>
      <c r="AJ50" s="13">
        <f>AI50*VLOOKUP('Données projet'!$B$10,Paramètres!$A$1:$I$89,3,0)*VLOOKUP('Données projet'!$B$10,Paramètres!$A$1:$I$89,5,0)</f>
        <v>147.25152000000003</v>
      </c>
      <c r="AK50" s="13">
        <f t="shared" si="35"/>
        <v>37.953313010063667</v>
      </c>
      <c r="AL50" s="20">
        <f t="shared" si="4"/>
        <v>322.56508415919421</v>
      </c>
      <c r="AM50" s="59">
        <f t="shared" si="5"/>
        <v>615.89841749252753</v>
      </c>
      <c r="AN50" s="59">
        <f ca="1">AVERAGE(OFFSET($AM$3,0,0,'Données projet'!$E$10+1,1))-AVERAGE(OFFSET($H$3,0,0,'Données projet'!$E$10+1,1))</f>
        <v>276.71735592065937</v>
      </c>
      <c r="AO50" s="59">
        <f t="shared" si="36"/>
        <v>159.98571289571038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7.3000000000000043</v>
      </c>
      <c r="N51" s="13">
        <f>IF('Données projet'!$A$36&gt;35,N50+M51-V50,IF(A51&lt;'Données projet'!$A$36,$K$205^A51,IF(A51='Données projet'!$A$36,'Données projet'!$B$36,N50+M51-V50)))</f>
        <v>359.30000000000018</v>
      </c>
      <c r="O51" s="13">
        <f>N51*VLOOKUP('Données projet'!$B$9,Paramètres!$A$1:$I$89,3,0)*VLOOKUP('Données projet'!$B$9,Paramètres!$A$1:$I$89,5,0)</f>
        <v>214.86140000000012</v>
      </c>
      <c r="P51" s="13">
        <f t="shared" si="33"/>
        <v>52.996504799916742</v>
      </c>
      <c r="Q51" s="20">
        <f t="shared" si="53"/>
        <v>466.51918419318849</v>
      </c>
      <c r="R51" s="59">
        <f t="shared" si="0"/>
        <v>759.85251752652175</v>
      </c>
      <c r="S51" s="59">
        <f ca="1">AVERAGE(OFFSET($R$3,0,0,'Données projet'!$E$9+1,1))-AVERAGE(OFFSET($H$3,0,0,'Données projet'!$E$9+1,1))</f>
        <v>252.28378247570731</v>
      </c>
      <c r="T51" s="59">
        <f t="shared" si="34"/>
        <v>263.50418595307343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20.554618552545325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7.8830008952337952E-2</v>
      </c>
      <c r="AC51" s="22">
        <f t="shared" si="3"/>
        <v>20.633448561497662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8.4</v>
      </c>
      <c r="AI51" s="13">
        <f>IF('Données projet'!$A$62&gt;35,AI50+AH51-AQ50,IF(A51&lt;'Données projet'!$A$62,$AF$205^A51,IF(A51='Données projet'!$A$62,'Données projet'!$B$62,AI50+AH51-AQ50)))</f>
        <v>183.20000000000002</v>
      </c>
      <c r="AJ51" s="13">
        <f>AI51*VLOOKUP('Données projet'!$B$10,Paramètres!$A$1:$I$89,3,0)*VLOOKUP('Données projet'!$B$10,Paramètres!$A$1:$I$89,5,0)</f>
        <v>154.32768000000002</v>
      </c>
      <c r="AK51" s="13">
        <f t="shared" si="35"/>
        <v>39.56043249271714</v>
      </c>
      <c r="AL51" s="20">
        <f t="shared" si="4"/>
        <v>337.68846259148233</v>
      </c>
      <c r="AM51" s="59">
        <f t="shared" si="5"/>
        <v>631.02179592481571</v>
      </c>
      <c r="AN51" s="59">
        <f ca="1">AVERAGE(OFFSET($AM$3,0,0,'Données projet'!$E$10+1,1))-AVERAGE(OFFSET($H$3,0,0,'Données projet'!$E$10+1,1))</f>
        <v>276.71735592065937</v>
      </c>
      <c r="AO51" s="59">
        <f t="shared" si="36"/>
        <v>159.98571289571038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7.3000000000000043</v>
      </c>
      <c r="N52" s="13">
        <f>IF('Données projet'!$A$36&gt;35,N51+M52-V51,IF(A52&lt;'Données projet'!$A$36,$K$205^A52,IF(A52='Données projet'!$A$36,'Données projet'!$B$36,N51+M52-V51)))</f>
        <v>366.60000000000019</v>
      </c>
      <c r="O52" s="13">
        <f>N52*VLOOKUP('Données projet'!$B$9,Paramètres!$A$1:$I$89,3,0)*VLOOKUP('Données projet'!$B$9,Paramètres!$A$1:$I$89,5,0)</f>
        <v>219.22680000000014</v>
      </c>
      <c r="P52" s="13">
        <f t="shared" si="33"/>
        <v>53.946800101493466</v>
      </c>
      <c r="Q52" s="20">
        <f t="shared" si="53"/>
        <v>475.77735351010136</v>
      </c>
      <c r="R52" s="59">
        <f t="shared" si="0"/>
        <v>769.11068684343468</v>
      </c>
      <c r="S52" s="59">
        <f ca="1">AVERAGE(OFFSET($R$3,0,0,'Données projet'!$E$9+1,1))-AVERAGE(OFFSET($H$3,0,0,'Données projet'!$E$9+1,1))</f>
        <v>252.28378247570731</v>
      </c>
      <c r="T52" s="59">
        <f t="shared" si="34"/>
        <v>263.50418595307343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20.151555019809294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5.5741233891194418E-2</v>
      </c>
      <c r="AC52" s="22">
        <f t="shared" si="3"/>
        <v>20.207296253700488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8.4</v>
      </c>
      <c r="AI52" s="13">
        <f>IF('Données projet'!$A$62&gt;35,AI51+AH52-AQ51,IF(A52&lt;'Données projet'!$A$62,$AF$205^A52,IF(A52='Données projet'!$A$62,'Données projet'!$B$62,AI51+AH52-AQ51)))</f>
        <v>191.60000000000002</v>
      </c>
      <c r="AJ52" s="13">
        <f>AI52*VLOOKUP('Données projet'!$B$10,Paramètres!$A$1:$I$89,3,0)*VLOOKUP('Données projet'!$B$10,Paramètres!$A$1:$I$89,5,0)</f>
        <v>161.40384000000003</v>
      </c>
      <c r="AK52" s="13">
        <f t="shared" si="35"/>
        <v>41.158994271563174</v>
      </c>
      <c r="AL52" s="20">
        <f t="shared" si="4"/>
        <v>352.79693635630588</v>
      </c>
      <c r="AM52" s="59">
        <f t="shared" si="5"/>
        <v>646.13026968963914</v>
      </c>
      <c r="AN52" s="59">
        <f ca="1">AVERAGE(OFFSET($AM$3,0,0,'Données projet'!$E$10+1,1))-AVERAGE(OFFSET($H$3,0,0,'Données projet'!$E$10+1,1))</f>
        <v>276.71735592065937</v>
      </c>
      <c r="AO52" s="59">
        <f t="shared" si="36"/>
        <v>159.98571289571038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7.3000000000000043</v>
      </c>
      <c r="N53" s="13">
        <f>IF('Données projet'!$A$36&gt;35,N52+M53-V52,IF(A53&lt;'Données projet'!$A$36,$K$205^A53,IF(A53='Données projet'!$A$36,'Données projet'!$B$36,N52+M53-V52)))</f>
        <v>373.9000000000002</v>
      </c>
      <c r="O53" s="13">
        <f>N53*VLOOKUP('Données projet'!$B$9,Paramètres!$A$1:$I$89,3,0)*VLOOKUP('Données projet'!$B$9,Paramètres!$A$1:$I$89,5,0)</f>
        <v>223.59220000000016</v>
      </c>
      <c r="P53" s="13">
        <f t="shared" si="33"/>
        <v>54.894895167980749</v>
      </c>
      <c r="Q53" s="20">
        <f t="shared" si="53"/>
        <v>485.03169075090005</v>
      </c>
      <c r="R53" s="59">
        <f t="shared" si="0"/>
        <v>778.36502408423337</v>
      </c>
      <c r="S53" s="59">
        <f ca="1">AVERAGE(OFFSET($R$3,0,0,'Données projet'!$E$9+1,1))-AVERAGE(OFFSET($H$3,0,0,'Données projet'!$E$9+1,1))</f>
        <v>252.28378247570731</v>
      </c>
      <c r="T53" s="59">
        <f t="shared" si="34"/>
        <v>263.50418595307343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19.756395317105738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3.9415004476168983E-2</v>
      </c>
      <c r="AC53" s="22">
        <f t="shared" si="3"/>
        <v>19.795810321581907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200</v>
      </c>
      <c r="AG53" s="12">
        <f>VLOOKUP(A53,'Données projet'!$A$61:$I$81,9,0)</f>
        <v>8.4</v>
      </c>
      <c r="AH53" s="12">
        <f t="array" ref="AH53">INDEX(AG:AG,MIN(IF(ISNUMBER(AG53:AG249),ROW(AG53:AG249),"")))</f>
        <v>8.4</v>
      </c>
      <c r="AI53" s="13">
        <f>IF('Données projet'!$A$62&gt;35,AI52+AH53-AQ52,IF(A53&lt;'Données projet'!$A$62,$AF$205^A53,IF(A53='Données projet'!$A$62,'Données projet'!$B$62,AI52+AH53-AQ52)))</f>
        <v>200.00000000000003</v>
      </c>
      <c r="AJ53" s="13">
        <f>AI53*VLOOKUP('Données projet'!$B$10,Paramètres!$A$1:$I$89,3,0)*VLOOKUP('Données projet'!$B$10,Paramètres!$A$1:$I$89,5,0)</f>
        <v>168.48000000000005</v>
      </c>
      <c r="AK53" s="13">
        <f t="shared" si="35"/>
        <v>42.74941640538534</v>
      </c>
      <c r="AL53" s="20">
        <f t="shared" si="4"/>
        <v>367.89123357271291</v>
      </c>
      <c r="AM53" s="59">
        <f t="shared" si="5"/>
        <v>661.22456690604622</v>
      </c>
      <c r="AN53" s="59">
        <f ca="1">AVERAGE(OFFSET($AM$3,0,0,'Données projet'!$E$10+1,1))-AVERAGE(OFFSET($H$3,0,0,'Données projet'!$E$10+1,1))</f>
        <v>276.71735592065937</v>
      </c>
      <c r="AO53" s="59">
        <f t="shared" si="36"/>
        <v>159.98571289571038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42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16.81834335379714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16.81834335379714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7.3000000000000043</v>
      </c>
      <c r="N54" s="13">
        <f>IF('Données projet'!$A$36&gt;35,N53+M54-V53,IF(A54&lt;'Données projet'!$A$36,$K$205^A54,IF(A54='Données projet'!$A$36,'Données projet'!$B$36,N53+M54-V53)))</f>
        <v>381.20000000000022</v>
      </c>
      <c r="O54" s="13">
        <f>N54*VLOOKUP('Données projet'!$B$9,Paramètres!$A$1:$I$89,3,0)*VLOOKUP('Données projet'!$B$9,Paramètres!$A$1:$I$89,5,0)</f>
        <v>227.95760000000016</v>
      </c>
      <c r="P54" s="13">
        <f t="shared" si="33"/>
        <v>55.840837908542632</v>
      </c>
      <c r="Q54" s="20">
        <f t="shared" si="53"/>
        <v>494.28227935737863</v>
      </c>
      <c r="R54" s="59">
        <f t="shared" si="0"/>
        <v>787.61561269071194</v>
      </c>
      <c r="S54" s="59">
        <f ca="1">AVERAGE(OFFSET($R$3,0,0,'Données projet'!$E$9+1,1))-AVERAGE(OFFSET($H$3,0,0,'Données projet'!$E$9+1,1))</f>
        <v>252.28378247570731</v>
      </c>
      <c r="T54" s="59">
        <f t="shared" si="34"/>
        <v>263.50418595307343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19.368984455148578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2.7870616945597212E-2</v>
      </c>
      <c r="AC54" s="22">
        <f t="shared" si="3"/>
        <v>19.396855072094176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7.7</v>
      </c>
      <c r="AI54" s="13">
        <f>IF('Données projet'!$A$62&gt;35,AI53+AH54-AQ53,IF(A54&lt;'Données projet'!$A$62,$AF$205^A54,IF(A54='Données projet'!$A$62,'Données projet'!$B$62,AI53+AH54-AQ53)))</f>
        <v>165.70000000000002</v>
      </c>
      <c r="AJ54" s="13">
        <f>AI54*VLOOKUP('Données projet'!$B$10,Paramètres!$A$1:$I$89,3,0)*VLOOKUP('Données projet'!$B$10,Paramètres!$A$1:$I$89,5,0)</f>
        <v>139.58568000000002</v>
      </c>
      <c r="AK54" s="13">
        <f t="shared" si="35"/>
        <v>36.202074235026309</v>
      </c>
      <c r="AL54" s="20">
        <f t="shared" si="4"/>
        <v>306.16367195933753</v>
      </c>
      <c r="AM54" s="59">
        <f t="shared" si="5"/>
        <v>599.49700529267079</v>
      </c>
      <c r="AN54" s="59">
        <f ca="1">AVERAGE(OFFSET($AM$3,0,0,'Données projet'!$E$10+1,1))-AVERAGE(OFFSET($H$3,0,0,'Données projet'!$E$10+1,1))</f>
        <v>276.71735592065937</v>
      </c>
      <c r="AO54" s="59">
        <f t="shared" si="36"/>
        <v>159.98571289571038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16.488545898805711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16.488545898805711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7.3000000000000043</v>
      </c>
      <c r="N55" s="13">
        <f>IF('Données projet'!$A$36&gt;35,N54+M55-V54,IF(A55&lt;'Données projet'!$A$36,$K$205^A55,IF(A55='Données projet'!$A$36,'Données projet'!$B$36,N54+M55-V54)))</f>
        <v>388.50000000000023</v>
      </c>
      <c r="O55" s="13">
        <f>N55*VLOOKUP('Données projet'!$B$9,Paramètres!$A$1:$I$89,3,0)*VLOOKUP('Données projet'!$B$9,Paramètres!$A$1:$I$89,5,0)</f>
        <v>232.32300000000018</v>
      </c>
      <c r="P55" s="13">
        <f t="shared" si="33"/>
        <v>56.784674292431681</v>
      </c>
      <c r="Q55" s="20">
        <f t="shared" si="53"/>
        <v>503.52919939265206</v>
      </c>
      <c r="R55" s="59">
        <f t="shared" si="0"/>
        <v>796.86253272598537</v>
      </c>
      <c r="S55" s="59">
        <f ca="1">AVERAGE(OFFSET($R$3,0,0,'Données projet'!$E$9+1,1))-AVERAGE(OFFSET($H$3,0,0,'Données projet'!$E$9+1,1))</f>
        <v>252.28378247570731</v>
      </c>
      <c r="T55" s="59">
        <f t="shared" si="34"/>
        <v>263.50418595307343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18.989170483897105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1.9707502238084491E-2</v>
      </c>
      <c r="AC55" s="22">
        <f t="shared" si="3"/>
        <v>19.00887798613519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7.7</v>
      </c>
      <c r="AI55" s="13">
        <f>IF('Données projet'!$A$62&gt;35,AI54+AH55-AQ54,IF(A55&lt;'Données projet'!$A$62,$AF$205^A55,IF(A55='Données projet'!$A$62,'Données projet'!$B$62,AI54+AH55-AQ54)))</f>
        <v>173.4</v>
      </c>
      <c r="AJ55" s="13">
        <f>AI55*VLOOKUP('Données projet'!$B$10,Paramètres!$A$1:$I$89,3,0)*VLOOKUP('Données projet'!$B$10,Paramètres!$A$1:$I$89,5,0)</f>
        <v>146.07216000000003</v>
      </c>
      <c r="AK55" s="13">
        <f t="shared" si="35"/>
        <v>37.684596095571031</v>
      </c>
      <c r="AL55" s="20">
        <f t="shared" si="4"/>
        <v>320.04301686645294</v>
      </c>
      <c r="AM55" s="59">
        <f t="shared" si="5"/>
        <v>613.3763501997862</v>
      </c>
      <c r="AN55" s="59">
        <f ca="1">AVERAGE(OFFSET($AM$3,0,0,'Données projet'!$E$10+1,1))-AVERAGE(OFFSET($H$3,0,0,'Données projet'!$E$10+1,1))</f>
        <v>276.71735592065937</v>
      </c>
      <c r="AO55" s="59">
        <f t="shared" si="36"/>
        <v>159.98571289571038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16.165215570750082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16.165215570750082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7.3000000000000043</v>
      </c>
      <c r="N56" s="13">
        <f>IF('Données projet'!$A$36&gt;35,N55+M56-V55,IF(A56&lt;'Données projet'!$A$36,$K$205^A56,IF(A56='Données projet'!$A$36,'Données projet'!$B$36,N55+M56-V55)))</f>
        <v>395.80000000000024</v>
      </c>
      <c r="O56" s="13">
        <f>N56*VLOOKUP('Données projet'!$B$9,Paramètres!$A$1:$I$89,3,0)*VLOOKUP('Données projet'!$B$9,Paramètres!$A$1:$I$89,5,0)</f>
        <v>236.68840000000017</v>
      </c>
      <c r="P56" s="13">
        <f t="shared" si="33"/>
        <v>57.726448462488456</v>
      </c>
      <c r="Q56" s="20">
        <f t="shared" si="53"/>
        <v>512.77252773883436</v>
      </c>
      <c r="R56" s="59">
        <f t="shared" si="0"/>
        <v>806.10586107216773</v>
      </c>
      <c r="S56" s="59">
        <f ca="1">AVERAGE(OFFSET($R$3,0,0,'Données projet'!$E$9+1,1))-AVERAGE(OFFSET($H$3,0,0,'Données projet'!$E$9+1,1))</f>
        <v>252.28378247570731</v>
      </c>
      <c r="T56" s="59">
        <f t="shared" si="34"/>
        <v>263.50418595307343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18.616804432958226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1.3935308472798606E-2</v>
      </c>
      <c r="AC56" s="22">
        <f t="shared" si="3"/>
        <v>18.630739741431025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7.7</v>
      </c>
      <c r="AI56" s="13">
        <f>IF('Données projet'!$A$62&gt;35,AI55+AH56-AQ55,IF(A56&lt;'Données projet'!$A$62,$AF$205^A56,IF(A56='Données projet'!$A$62,'Données projet'!$B$62,AI55+AH56-AQ55)))</f>
        <v>181.1</v>
      </c>
      <c r="AJ56" s="13">
        <f>AI56*VLOOKUP('Données projet'!$B$10,Paramètres!$A$1:$I$89,3,0)*VLOOKUP('Données projet'!$B$10,Paramètres!$A$1:$I$89,5,0)</f>
        <v>152.55864</v>
      </c>
      <c r="AK56" s="13">
        <f t="shared" si="35"/>
        <v>39.159472127762854</v>
      </c>
      <c r="AL56" s="20">
        <f t="shared" si="4"/>
        <v>333.90904528918696</v>
      </c>
      <c r="AM56" s="59">
        <f t="shared" si="5"/>
        <v>627.24237862252028</v>
      </c>
      <c r="AN56" s="59">
        <f ca="1">AVERAGE(OFFSET($AM$3,0,0,'Données projet'!$E$10+1,1))-AVERAGE(OFFSET($H$3,0,0,'Données projet'!$E$10+1,1))</f>
        <v>276.71735592065937</v>
      </c>
      <c r="AO56" s="59">
        <f t="shared" si="36"/>
        <v>159.98571289571038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15.848225553215595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15.848225553215595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403.1</v>
      </c>
      <c r="L57" s="12">
        <f>VLOOKUP(A57,'Données projet'!$A$35:$I$55,9,0)</f>
        <v>7.3000000000000043</v>
      </c>
      <c r="M57" s="12">
        <f t="array" ref="M57">INDEX(L:L,MIN(IF(ISNUMBER(L57:L253),ROW(L57:L253),"")))</f>
        <v>7.3000000000000043</v>
      </c>
      <c r="N57" s="13">
        <f>IF('Données projet'!$A$36&gt;35,N56+M57-V56,IF(A57&lt;'Données projet'!$A$36,$K$205^A57,IF(A57='Données projet'!$A$36,'Données projet'!$B$36,N56+M57-V56)))</f>
        <v>403.10000000000025</v>
      </c>
      <c r="O57" s="13">
        <f>N57*VLOOKUP('Données projet'!$B$9,Paramètres!$A$1:$I$89,3,0)*VLOOKUP('Données projet'!$B$9,Paramètres!$A$1:$I$89,5,0)</f>
        <v>241.05380000000017</v>
      </c>
      <c r="P57" s="13">
        <f t="shared" si="33"/>
        <v>58.666202840030898</v>
      </c>
      <c r="Q57" s="20">
        <f t="shared" si="53"/>
        <v>522.01233827972067</v>
      </c>
      <c r="R57" s="59">
        <f t="shared" si="0"/>
        <v>815.34567161305404</v>
      </c>
      <c r="S57" s="59">
        <f ca="1">AVERAGE(OFFSET($R$3,0,0,'Données projet'!$E$9+1,1))-AVERAGE(OFFSET($H$3,0,0,'Données projet'!$E$9+1,1))</f>
        <v>252.28378247570731</v>
      </c>
      <c r="T57" s="59">
        <f t="shared" si="34"/>
        <v>263.50418595307343</v>
      </c>
      <c r="U57" s="15">
        <f>IF(ISNA(VLOOKUP(A57,'Données projet'!$A$35:$I$55,3,0)),0,VLOOKUP(A57,'Données projet'!$A$35:$I$55,3,0))</f>
        <v>9</v>
      </c>
      <c r="V57" s="15">
        <f>IF(ISNA(VLOOKUP(A57,'Données projet'!$A$35:$I$55,4,0)),0,VLOOKUP(A57,'Données projet'!$A$35:$I$55,4,0))</f>
        <v>17.399999999999999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18.251740253157394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9.8537511190422457E-3</v>
      </c>
      <c r="AC57" s="22">
        <f t="shared" si="3"/>
        <v>18.261594004276436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7.7</v>
      </c>
      <c r="AI57" s="13">
        <f>IF('Données projet'!$A$62&gt;35,AI56+AH57-AQ56,IF(A57&lt;'Données projet'!$A$62,$AF$205^A57,IF(A57='Données projet'!$A$62,'Données projet'!$B$62,AI56+AH57-AQ56)))</f>
        <v>188.79999999999998</v>
      </c>
      <c r="AJ57" s="13">
        <f>AI57*VLOOKUP('Données projet'!$B$10,Paramètres!$A$1:$I$89,3,0)*VLOOKUP('Données projet'!$B$10,Paramètres!$A$1:$I$89,5,0)</f>
        <v>159.04512</v>
      </c>
      <c r="AK57" s="13">
        <f t="shared" si="35"/>
        <v>40.627064582509341</v>
      </c>
      <c r="AL57" s="20">
        <f t="shared" si="4"/>
        <v>347.76238814787047</v>
      </c>
      <c r="AM57" s="59">
        <f t="shared" si="5"/>
        <v>641.09572148120378</v>
      </c>
      <c r="AN57" s="59">
        <f ca="1">AVERAGE(OFFSET($AM$3,0,0,'Données projet'!$E$10+1,1))-AVERAGE(OFFSET($H$3,0,0,'Données projet'!$E$10+1,1))</f>
        <v>276.71735592065937</v>
      </c>
      <c r="AO57" s="59">
        <f t="shared" si="36"/>
        <v>159.98571289571038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15.537451516580141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15.537451516580141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3.0374999999999943</v>
      </c>
      <c r="N58" s="13">
        <f>IF('Données projet'!$A$36&gt;35,N57+M58-V57,IF(A58&lt;'Données projet'!$A$36,$K$205^A58,IF(A58='Données projet'!$A$36,'Données projet'!$B$36,N57+M58-V57)))</f>
        <v>388.7375000000003</v>
      </c>
      <c r="O58" s="13">
        <f>N58*VLOOKUP('Données projet'!$B$9,Paramètres!$A$1:$I$89,3,0)*VLOOKUP('Données projet'!$B$9,Paramètres!$A$1:$I$89,5,0)</f>
        <v>232.4650250000002</v>
      </c>
      <c r="P58" s="13">
        <f t="shared" si="33"/>
        <v>56.81534642612386</v>
      </c>
      <c r="Q58" s="20">
        <f t="shared" si="53"/>
        <v>503.82998023383271</v>
      </c>
      <c r="R58" s="59">
        <f t="shared" si="0"/>
        <v>797.16331356716603</v>
      </c>
      <c r="S58" s="59">
        <f ca="1">AVERAGE(OFFSET($R$3,0,0,'Données projet'!$E$9+1,1))-AVERAGE(OFFSET($H$3,0,0,'Données projet'!$E$9+1,1))</f>
        <v>252.28378247570731</v>
      </c>
      <c r="T58" s="59">
        <f t="shared" si="34"/>
        <v>263.50418595307343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17.893834759255292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6.9676542363993031E-3</v>
      </c>
      <c r="AC58" s="22">
        <f t="shared" si="3"/>
        <v>17.900802413491689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7.7</v>
      </c>
      <c r="AI58" s="13">
        <f>IF('Données projet'!$A$62&gt;35,AI57+AH58-AQ57,IF(A58&lt;'Données projet'!$A$62,$AF$205^A58,IF(A58='Données projet'!$A$62,'Données projet'!$B$62,AI57+AH58-AQ57)))</f>
        <v>196.49999999999997</v>
      </c>
      <c r="AJ58" s="13">
        <f>AI58*VLOOKUP('Données projet'!$B$10,Paramètres!$A$1:$I$89,3,0)*VLOOKUP('Données projet'!$B$10,Paramètres!$A$1:$I$89,5,0)</f>
        <v>165.53159999999997</v>
      </c>
      <c r="AK58" s="13">
        <f t="shared" si="35"/>
        <v>42.087704490588905</v>
      </c>
      <c r="AL58" s="20">
        <f t="shared" si="4"/>
        <v>361.60362198777563</v>
      </c>
      <c r="AM58" s="59">
        <f t="shared" si="5"/>
        <v>654.93695532110894</v>
      </c>
      <c r="AN58" s="59">
        <f ca="1">AVERAGE(OFFSET($AM$3,0,0,'Données projet'!$E$10+1,1))-AVERAGE(OFFSET($H$3,0,0,'Données projet'!$E$10+1,1))</f>
        <v>276.71735592065937</v>
      </c>
      <c r="AO58" s="59">
        <f t="shared" si="36"/>
        <v>159.98571289571038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15.232771569249662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15.232771569249662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3.0374999999999943</v>
      </c>
      <c r="N59" s="13">
        <f>IF('Données projet'!$A$36&gt;35,N58+M59-V58,IF(A59&lt;'Données projet'!$A$36,$K$205^A59,IF(A59='Données projet'!$A$36,'Données projet'!$B$36,N58+M59-V58)))</f>
        <v>391.77500000000032</v>
      </c>
      <c r="O59" s="13">
        <f>N59*VLOOKUP('Données projet'!$B$9,Paramètres!$A$1:$I$89,3,0)*VLOOKUP('Données projet'!$B$9,Paramètres!$A$1:$I$89,5,0)</f>
        <v>234.28145000000023</v>
      </c>
      <c r="P59" s="13">
        <f t="shared" si="33"/>
        <v>57.207435050889636</v>
      </c>
      <c r="Q59" s="20">
        <f t="shared" si="53"/>
        <v>507.67647479696649</v>
      </c>
      <c r="R59" s="59">
        <f t="shared" si="0"/>
        <v>801.0098081302998</v>
      </c>
      <c r="S59" s="59">
        <f ca="1">AVERAGE(OFFSET($R$3,0,0,'Données projet'!$E$9+1,1))-AVERAGE(OFFSET($H$3,0,0,'Données projet'!$E$9+1,1))</f>
        <v>252.28378247570731</v>
      </c>
      <c r="T59" s="59">
        <f t="shared" si="34"/>
        <v>263.50418595307343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17.542947573787814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4.9268755595211228E-3</v>
      </c>
      <c r="AC59" s="22">
        <f t="shared" si="3"/>
        <v>17.547874449347336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7.7</v>
      </c>
      <c r="AI59" s="13">
        <f>IF('Données projet'!$A$62&gt;35,AI58+AH59-AQ58,IF(A59&lt;'Données projet'!$A$62,$AF$205^A59,IF(A59='Données projet'!$A$62,'Données projet'!$B$62,AI58+AH59-AQ58)))</f>
        <v>204.19999999999996</v>
      </c>
      <c r="AJ59" s="13">
        <f>AI59*VLOOKUP('Données projet'!$B$10,Paramètres!$A$1:$I$89,3,0)*VLOOKUP('Données projet'!$B$10,Paramètres!$A$1:$I$89,5,0)</f>
        <v>172.01808</v>
      </c>
      <c r="AK59" s="13">
        <f t="shared" si="35"/>
        <v>43.541695470546316</v>
      </c>
      <c r="AL59" s="20">
        <f t="shared" si="4"/>
        <v>375.43327561120145</v>
      </c>
      <c r="AM59" s="59">
        <f t="shared" si="5"/>
        <v>668.76660894453471</v>
      </c>
      <c r="AN59" s="59">
        <f ca="1">AVERAGE(OFFSET($AM$3,0,0,'Données projet'!$E$10+1,1))-AVERAGE(OFFSET($H$3,0,0,'Données projet'!$E$10+1,1))</f>
        <v>276.71735592065937</v>
      </c>
      <c r="AO59" s="59">
        <f t="shared" si="36"/>
        <v>159.98571289571038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14.934066209849917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14.934066209849917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3.0374999999999943</v>
      </c>
      <c r="N60" s="13">
        <f>IF('Données projet'!$A$36&gt;35,N59+M60-V59,IF(A60&lt;'Données projet'!$A$36,$K$205^A60,IF(A60='Données projet'!$A$36,'Données projet'!$B$36,N59+M60-V59)))</f>
        <v>394.81250000000034</v>
      </c>
      <c r="O60" s="13">
        <f>N60*VLOOKUP('Données projet'!$B$9,Paramètres!$A$1:$I$89,3,0)*VLOOKUP('Données projet'!$B$9,Paramètres!$A$1:$I$89,5,0)</f>
        <v>236.09787500000022</v>
      </c>
      <c r="P60" s="13">
        <f t="shared" si="33"/>
        <v>57.599169983491038</v>
      </c>
      <c r="Q60" s="20">
        <f t="shared" si="53"/>
        <v>511.5223533462472</v>
      </c>
      <c r="R60" s="59">
        <f t="shared" si="0"/>
        <v>804.85568667958046</v>
      </c>
      <c r="S60" s="59">
        <f ca="1">AVERAGE(OFFSET($R$3,0,0,'Données projet'!$E$9+1,1))-AVERAGE(OFFSET($H$3,0,0,'Données projet'!$E$9+1,1))</f>
        <v>252.28378247570731</v>
      </c>
      <c r="T60" s="59">
        <f t="shared" si="34"/>
        <v>263.50418595307343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17.198941072007305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3.4838271181996516E-3</v>
      </c>
      <c r="AC60" s="22">
        <f t="shared" si="3"/>
        <v>17.202424899125504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7.7</v>
      </c>
      <c r="AI60" s="13">
        <f>IF('Données projet'!$A$62&gt;35,AI59+AH60-AQ59,IF(A60&lt;'Données projet'!$A$62,$AF$205^A60,IF(A60='Données projet'!$A$62,'Données projet'!$B$62,AI59+AH60-AQ59)))</f>
        <v>211.89999999999995</v>
      </c>
      <c r="AJ60" s="13">
        <f>AI60*VLOOKUP('Données projet'!$B$10,Paramètres!$A$1:$I$89,3,0)*VLOOKUP('Données projet'!$B$10,Paramètres!$A$1:$I$89,5,0)</f>
        <v>178.50455999999997</v>
      </c>
      <c r="AK60" s="13">
        <f t="shared" si="35"/>
        <v>44.989316946083896</v>
      </c>
      <c r="AL60" s="20">
        <f t="shared" si="4"/>
        <v>389.25183568109605</v>
      </c>
      <c r="AM60" s="59">
        <f t="shared" si="5"/>
        <v>682.58516901442931</v>
      </c>
      <c r="AN60" s="59">
        <f ca="1">AVERAGE(OFFSET($AM$3,0,0,'Données projet'!$E$10+1,1))-AVERAGE(OFFSET($H$3,0,0,'Données projet'!$E$10+1,1))</f>
        <v>276.71735592065937</v>
      </c>
      <c r="AO60" s="59">
        <f t="shared" si="36"/>
        <v>159.98571289571038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14.641218280355721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14.641218280355721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3.0374999999999943</v>
      </c>
      <c r="N61" s="13">
        <f>IF('Données projet'!$A$36&gt;35,N60+M61-V60,IF(A61&lt;'Données projet'!$A$36,$K$205^A61,IF(A61='Données projet'!$A$36,'Données projet'!$B$36,N60+M61-V60)))</f>
        <v>397.85000000000036</v>
      </c>
      <c r="O61" s="13">
        <f>N61*VLOOKUP('Données projet'!$B$9,Paramètres!$A$1:$I$89,3,0)*VLOOKUP('Données projet'!$B$9,Paramètres!$A$1:$I$89,5,0)</f>
        <v>237.91430000000022</v>
      </c>
      <c r="P61" s="13">
        <f t="shared" si="33"/>
        <v>57.990554260508603</v>
      </c>
      <c r="Q61" s="20">
        <f t="shared" si="53"/>
        <v>515.3676211703862</v>
      </c>
      <c r="R61" s="59">
        <f t="shared" si="0"/>
        <v>808.70095450371946</v>
      </c>
      <c r="S61" s="59">
        <f ca="1">AVERAGE(OFFSET($R$3,0,0,'Données projet'!$E$9+1,1))-AVERAGE(OFFSET($H$3,0,0,'Données projet'!$E$9+1,1))</f>
        <v>252.28378247570731</v>
      </c>
      <c r="T61" s="59">
        <f t="shared" si="34"/>
        <v>263.50418595307343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16.861680327903464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2.4634377797605614E-3</v>
      </c>
      <c r="AC61" s="22">
        <f t="shared" si="3"/>
        <v>16.864143765683224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7.7</v>
      </c>
      <c r="AI61" s="13">
        <f>IF('Données projet'!$A$62&gt;35,AI60+AH61-AQ60,IF(A61&lt;'Données projet'!$A$62,$AF$205^A61,IF(A61='Données projet'!$A$62,'Données projet'!$B$62,AI60+AH61-AQ60)))</f>
        <v>219.59999999999994</v>
      </c>
      <c r="AJ61" s="13">
        <f>AI61*VLOOKUP('Données projet'!$B$10,Paramètres!$A$1:$I$89,3,0)*VLOOKUP('Données projet'!$B$10,Paramètres!$A$1:$I$89,5,0)</f>
        <v>184.99103999999997</v>
      </c>
      <c r="AK61" s="13">
        <f t="shared" si="35"/>
        <v>46.430826882655644</v>
      </c>
      <c r="AL61" s="20">
        <f t="shared" si="4"/>
        <v>403.05975148729181</v>
      </c>
      <c r="AM61" s="59">
        <f t="shared" si="5"/>
        <v>696.39308482062506</v>
      </c>
      <c r="AN61" s="59">
        <f ca="1">AVERAGE(OFFSET($AM$3,0,0,'Données projet'!$E$10+1,1))-AVERAGE(OFFSET($H$3,0,0,'Données projet'!$E$10+1,1))</f>
        <v>276.71735592065937</v>
      </c>
      <c r="AO61" s="59">
        <f t="shared" si="36"/>
        <v>159.98571289571038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14.354112920139306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14.354112920139306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3.0374999999999943</v>
      </c>
      <c r="N62" s="13">
        <f>IF('Données projet'!$A$36&gt;35,N61+M62-V61,IF(A62&lt;'Données projet'!$A$36,$K$205^A62,IF(A62='Données projet'!$A$36,'Données projet'!$B$36,N61+M62-V61)))</f>
        <v>400.88750000000039</v>
      </c>
      <c r="O62" s="13">
        <f>N62*VLOOKUP('Données projet'!$B$9,Paramètres!$A$1:$I$89,3,0)*VLOOKUP('Données projet'!$B$9,Paramètres!$A$1:$I$89,5,0)</f>
        <v>239.73072500000023</v>
      </c>
      <c r="P62" s="13">
        <f t="shared" si="33"/>
        <v>58.381590869477449</v>
      </c>
      <c r="Q62" s="20">
        <f t="shared" si="53"/>
        <v>519.21228347267368</v>
      </c>
      <c r="R62" s="59">
        <f t="shared" si="0"/>
        <v>812.54561680600705</v>
      </c>
      <c r="S62" s="59">
        <f ca="1">AVERAGE(OFFSET($R$3,0,0,'Données projet'!$E$9+1,1))-AVERAGE(OFFSET($H$3,0,0,'Données projet'!$E$9+1,1))</f>
        <v>252.28378247570731</v>
      </c>
      <c r="T62" s="59">
        <f t="shared" si="34"/>
        <v>263.50418595307343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16.531033061282756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1.7419135590998258E-3</v>
      </c>
      <c r="AC62" s="22">
        <f t="shared" si="3"/>
        <v>16.532774974841857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7.7</v>
      </c>
      <c r="AI62" s="13">
        <f>IF('Données projet'!$A$62&gt;35,AI61+AH62-AQ61,IF(A62&lt;'Données projet'!$A$62,$AF$205^A62,IF(A62='Données projet'!$A$62,'Données projet'!$B$62,AI61+AH62-AQ61)))</f>
        <v>227.29999999999993</v>
      </c>
      <c r="AJ62" s="13">
        <f>AI62*VLOOKUP('Données projet'!$B$10,Paramètres!$A$1:$I$89,3,0)*VLOOKUP('Données projet'!$B$10,Paramètres!$A$1:$I$89,5,0)</f>
        <v>191.47751999999994</v>
      </c>
      <c r="AK62" s="13">
        <f t="shared" si="35"/>
        <v>47.866464129456432</v>
      </c>
      <c r="AL62" s="20">
        <f t="shared" si="4"/>
        <v>416.85743902546983</v>
      </c>
      <c r="AM62" s="59">
        <f t="shared" si="5"/>
        <v>710.19077235880309</v>
      </c>
      <c r="AN62" s="59">
        <f ca="1">AVERAGE(OFFSET($AM$3,0,0,'Données projet'!$E$10+1,1))-AVERAGE(OFFSET($H$3,0,0,'Données projet'!$E$10+1,1))</f>
        <v>276.71735592065937</v>
      </c>
      <c r="AO62" s="59">
        <f t="shared" si="36"/>
        <v>159.98571289571038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14.072637520919757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14.072637520919757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3.0374999999999943</v>
      </c>
      <c r="N63" s="13">
        <f>IF('Données projet'!$A$36&gt;35,N62+M63-V62,IF(A63&lt;'Données projet'!$A$36,$K$205^A63,IF(A63='Données projet'!$A$36,'Données projet'!$B$36,N62+M63-V62)))</f>
        <v>403.92500000000041</v>
      </c>
      <c r="O63" s="13">
        <f>N63*VLOOKUP('Données projet'!$B$9,Paramètres!$A$1:$I$89,3,0)*VLOOKUP('Données projet'!$B$9,Paramètres!$A$1:$I$89,5,0)</f>
        <v>241.54715000000027</v>
      </c>
      <c r="P63" s="13">
        <f t="shared" si="33"/>
        <v>58.772282750044901</v>
      </c>
      <c r="Q63" s="20">
        <f t="shared" si="53"/>
        <v>523.05634537299522</v>
      </c>
      <c r="R63" s="59">
        <f t="shared" si="0"/>
        <v>816.3896787063286</v>
      </c>
      <c r="S63" s="59">
        <f ca="1">AVERAGE(OFFSET($R$3,0,0,'Données projet'!$E$9+1,1))-AVERAGE(OFFSET($H$3,0,0,'Données projet'!$E$9+1,1))</f>
        <v>252.28378247570731</v>
      </c>
      <c r="T63" s="59">
        <f t="shared" si="34"/>
        <v>263.50418595307343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16.20686958588556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1.2317188898802807E-3</v>
      </c>
      <c r="AC63" s="22">
        <f t="shared" si="3"/>
        <v>16.20810130477544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235</v>
      </c>
      <c r="AG63" s="12">
        <f>VLOOKUP(A63,'Données projet'!$A$61:$I$81,9,0)</f>
        <v>7.7</v>
      </c>
      <c r="AH63" s="12">
        <f t="array" ref="AH63">INDEX(AG:AG,MIN(IF(ISNUMBER(AG63:AG259),ROW(AG63:AG259),"")))</f>
        <v>7.7</v>
      </c>
      <c r="AI63" s="13">
        <f>IF('Données projet'!$A$62&gt;35,AI62+AH63-AQ62,IF(A63&lt;'Données projet'!$A$62,$AF$205^A63,IF(A63='Données projet'!$A$62,'Données projet'!$B$62,AI62+AH63-AQ62)))</f>
        <v>234.99999999999991</v>
      </c>
      <c r="AJ63" s="13">
        <f>AI63*VLOOKUP('Données projet'!$B$10,Paramètres!$A$1:$I$89,3,0)*VLOOKUP('Données projet'!$B$10,Paramètres!$A$1:$I$89,5,0)</f>
        <v>197.96399999999994</v>
      </c>
      <c r="AK63" s="13">
        <f t="shared" si="35"/>
        <v>49.296450435147719</v>
      </c>
      <c r="AL63" s="20">
        <f t="shared" si="4"/>
        <v>430.6452845078822</v>
      </c>
      <c r="AM63" s="59">
        <f t="shared" si="5"/>
        <v>723.97861784121551</v>
      </c>
      <c r="AN63" s="59">
        <f ca="1">AVERAGE(OFFSET($AM$3,0,0,'Données projet'!$E$10+1,1))-AVERAGE(OFFSET($H$3,0,0,'Données projet'!$E$10+1,1))</f>
        <v>276.71735592065937</v>
      </c>
      <c r="AO63" s="59">
        <f t="shared" si="36"/>
        <v>159.98571289571038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42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13.796681682595862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13.796681682595862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3.0374999999999943</v>
      </c>
      <c r="N64" s="13">
        <f>IF('Données projet'!$A$36&gt;35,N63+M64-V63,IF(A64&lt;'Données projet'!$A$36,$K$205^A64,IF(A64='Données projet'!$A$36,'Données projet'!$B$36,N63+M64-V63)))</f>
        <v>406.96250000000043</v>
      </c>
      <c r="O64" s="13">
        <f>N64*VLOOKUP('Données projet'!$B$9,Paramètres!$A$1:$I$89,3,0)*VLOOKUP('Données projet'!$B$9,Paramètres!$A$1:$I$89,5,0)</f>
        <v>243.36357500000028</v>
      </c>
      <c r="P64" s="13">
        <f t="shared" si="33"/>
        <v>59.162632795092129</v>
      </c>
      <c r="Q64" s="20">
        <f t="shared" si="53"/>
        <v>526.89981190978597</v>
      </c>
      <c r="R64" s="59">
        <f t="shared" si="0"/>
        <v>820.23314524311922</v>
      </c>
      <c r="S64" s="59">
        <f ca="1">AVERAGE(OFFSET($R$3,0,0,'Données projet'!$E$9+1,1))-AVERAGE(OFFSET($H$3,0,0,'Données projet'!$E$9+1,1))</f>
        <v>252.28378247570731</v>
      </c>
      <c r="T64" s="59">
        <f t="shared" si="34"/>
        <v>263.50418595307343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15.889062758520707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8.7095677954991289E-4</v>
      </c>
      <c r="AC64" s="22">
        <f t="shared" si="3"/>
        <v>15.889933715300257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</v>
      </c>
      <c r="AI64" s="13">
        <f>IF('Données projet'!$A$62&gt;35,AI63+AH64-AQ63,IF(A64&lt;'Données projet'!$A$62,$AF$205^A64,IF(A64='Données projet'!$A$62,'Données projet'!$B$62,AI63+AH64-AQ63)))</f>
        <v>199.99999999999991</v>
      </c>
      <c r="AJ64" s="13">
        <f>AI64*VLOOKUP('Données projet'!$B$10,Paramètres!$A$1:$I$89,3,0)*VLOOKUP('Données projet'!$B$10,Paramètres!$A$1:$I$89,5,0)</f>
        <v>168.47999999999993</v>
      </c>
      <c r="AK64" s="13">
        <f t="shared" si="35"/>
        <v>42.74941640538534</v>
      </c>
      <c r="AL64" s="20">
        <f t="shared" si="4"/>
        <v>367.89123357271268</v>
      </c>
      <c r="AM64" s="59">
        <f t="shared" si="5"/>
        <v>661.22456690604599</v>
      </c>
      <c r="AN64" s="59">
        <f ca="1">AVERAGE(OFFSET($AM$3,0,0,'Données projet'!$E$10+1,1))-AVERAGE(OFFSET($H$3,0,0,'Données projet'!$E$10+1,1))</f>
        <v>276.71735592065937</v>
      </c>
      <c r="AO64" s="59">
        <f t="shared" si="36"/>
        <v>159.98571289571038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13.526137169945057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13.526137169945057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410</v>
      </c>
      <c r="L65" s="12">
        <f>VLOOKUP(A65,'Données projet'!$A$35:$I$55,9,0)</f>
        <v>3.0374999999999943</v>
      </c>
      <c r="M65" s="12">
        <f t="array" ref="M65">INDEX(L:L,MIN(IF(ISNUMBER(L65:L261),ROW(L65:L261),"")))</f>
        <v>3.0374999999999943</v>
      </c>
      <c r="N65" s="13">
        <f>IF('Données projet'!$A$36&gt;35,N64+M65-V64,IF(A65&lt;'Données projet'!$A$36,$K$205^A65,IF(A65='Données projet'!$A$36,'Données projet'!$B$36,N64+M65-V64)))</f>
        <v>410.00000000000045</v>
      </c>
      <c r="O65" s="13">
        <f>N65*VLOOKUP('Données projet'!$B$9,Paramètres!$A$1:$I$89,3,0)*VLOOKUP('Données projet'!$B$9,Paramètres!$A$1:$I$89,5,0)</f>
        <v>245.18000000000029</v>
      </c>
      <c r="P65" s="13">
        <f t="shared" si="33"/>
        <v>59.552643851821543</v>
      </c>
      <c r="Q65" s="20">
        <f t="shared" si="53"/>
        <v>530.74268804192297</v>
      </c>
      <c r="R65" s="59">
        <f t="shared" si="0"/>
        <v>824.07602137525623</v>
      </c>
      <c r="S65" s="59">
        <f ca="1">AVERAGE(OFFSET($R$3,0,0,'Données projet'!$E$9+1,1))-AVERAGE(OFFSET($H$3,0,0,'Données projet'!$E$9+1,1))</f>
        <v>252.28378247570731</v>
      </c>
      <c r="T65" s="59">
        <f t="shared" si="34"/>
        <v>263.50418595307343</v>
      </c>
      <c r="U65" s="15">
        <f>IF(ISNA(VLOOKUP(A65,'Données projet'!$A$35:$I$55,3,0)),0,VLOOKUP(A65,'Données projet'!$A$35:$I$55,3,0))</f>
        <v>10</v>
      </c>
      <c r="V65" s="15">
        <f>IF(ISNA(VLOOKUP(A65,'Données projet'!$A$35:$I$55,4,0)),0,VLOOKUP(A65,'Données projet'!$A$35:$I$55,4,0))</f>
        <v>410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15.577487929197455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6.1585944494014036E-4</v>
      </c>
      <c r="AC65" s="22">
        <f t="shared" si="3"/>
        <v>15.578103788642395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</v>
      </c>
      <c r="AI65" s="13">
        <f>IF('Données projet'!$A$62&gt;35,AI64+AH65-AQ64,IF(A65&lt;'Données projet'!$A$62,$AF$205^A65,IF(A65='Données projet'!$A$62,'Données projet'!$B$62,AI64+AH65-AQ64)))</f>
        <v>206.99999999999991</v>
      </c>
      <c r="AJ65" s="13">
        <f>AI65*VLOOKUP('Données projet'!$B$10,Paramètres!$A$1:$I$89,3,0)*VLOOKUP('Données projet'!$B$10,Paramètres!$A$1:$I$89,5,0)</f>
        <v>174.37679999999995</v>
      </c>
      <c r="AK65" s="13">
        <f t="shared" si="35"/>
        <v>44.06882624410639</v>
      </c>
      <c r="AL65" s="20">
        <f t="shared" si="4"/>
        <v>380.4594657084852</v>
      </c>
      <c r="AM65" s="59">
        <f t="shared" si="5"/>
        <v>673.79279904181851</v>
      </c>
      <c r="AN65" s="59">
        <f ca="1">AVERAGE(OFFSET($AM$3,0,0,'Données projet'!$E$10+1,1))-AVERAGE(OFFSET($H$3,0,0,'Données projet'!$E$10+1,1))</f>
        <v>276.71735592065937</v>
      </c>
      <c r="AO65" s="59">
        <f t="shared" si="36"/>
        <v>159.98571289571038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13.260897870171476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13.260897870171476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4.5474735088646412E-13</v>
      </c>
      <c r="O66" s="13">
        <f>N66*VLOOKUP('Données projet'!$B$9,Paramètres!$A$1:$I$89,3,0)*VLOOKUP('Données projet'!$B$9,Paramètres!$A$1:$I$89,5,0)</f>
        <v>2.7193891583010558E-13</v>
      </c>
      <c r="P66" s="13">
        <f t="shared" si="33"/>
        <v>3.6362267729089988E-12</v>
      </c>
      <c r="Q66" s="20">
        <f t="shared" si="53"/>
        <v>6.8067219078872727E-12</v>
      </c>
      <c r="R66" s="59">
        <f t="shared" si="0"/>
        <v>293.33333333334014</v>
      </c>
      <c r="S66" s="59">
        <f ca="1">AVERAGE(OFFSET($R$3,0,0,'Données projet'!$E$9+1,1))-AVERAGE(OFFSET($H$3,0,0,'Données projet'!$E$9+1,1))</f>
        <v>252.28378247570731</v>
      </c>
      <c r="T66" s="59">
        <f t="shared" si="34"/>
        <v>263.50418595307343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15.27202289223535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4.3547838977495644E-4</v>
      </c>
      <c r="AC66" s="22">
        <f t="shared" si="3"/>
        <v>15.272458370625126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</v>
      </c>
      <c r="AI66" s="13">
        <f>IF('Données projet'!$A$62&gt;35,AI65+AH66-AQ65,IF(A66&lt;'Données projet'!$A$62,$AF$205^A66,IF(A66='Données projet'!$A$62,'Données projet'!$B$62,AI65+AH66-AQ65)))</f>
        <v>213.99999999999991</v>
      </c>
      <c r="AJ66" s="13">
        <f>AI66*VLOOKUP('Données projet'!$B$10,Paramètres!$A$1:$I$89,3,0)*VLOOKUP('Données projet'!$B$10,Paramètres!$A$1:$I$89,5,0)</f>
        <v>180.27359999999993</v>
      </c>
      <c r="AK66" s="13">
        <f t="shared" si="35"/>
        <v>45.383051743938047</v>
      </c>
      <c r="AL66" s="20">
        <f t="shared" si="4"/>
        <v>393.01866845402532</v>
      </c>
      <c r="AM66" s="59">
        <f t="shared" si="5"/>
        <v>686.35200178735863</v>
      </c>
      <c r="AN66" s="59">
        <f ca="1">AVERAGE(OFFSET($AM$3,0,0,'Données projet'!$E$10+1,1))-AVERAGE(OFFSET($H$3,0,0,'Données projet'!$E$10+1,1))</f>
        <v>276.71735592065937</v>
      </c>
      <c r="AO66" s="59">
        <f t="shared" si="36"/>
        <v>159.98571289571038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13.000859751286455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13.000859751286455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4.5474735088646412E-13</v>
      </c>
      <c r="O67" s="13">
        <f>N67*VLOOKUP('Données projet'!$B$9,Paramètres!$A$1:$I$89,3,0)*VLOOKUP('Données projet'!$B$9,Paramètres!$A$1:$I$89,5,0)</f>
        <v>2.7193891583010558E-13</v>
      </c>
      <c r="P67" s="13">
        <f t="shared" si="33"/>
        <v>3.6362267729089988E-12</v>
      </c>
      <c r="Q67" s="20">
        <f t="shared" ref="Q67:Q98" si="54">(O67+P67)*0.475*44/12</f>
        <v>6.8067219078872727E-12</v>
      </c>
      <c r="R67" s="59">
        <f t="shared" ref="R67:R130" si="55">Q67+(I67+J67)*44/12</f>
        <v>293.33333333334014</v>
      </c>
      <c r="S67" s="59">
        <f ca="1">AVERAGE(OFFSET($R$3,0,0,'Données projet'!$E$9+1,1))-AVERAGE(OFFSET($H$3,0,0,'Données projet'!$E$9+1,1))</f>
        <v>252.28378247570731</v>
      </c>
      <c r="T67" s="59">
        <f t="shared" si="34"/>
        <v>263.50418595307343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14.972547838332797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3.0792972247007018E-4</v>
      </c>
      <c r="AC67" s="22">
        <f t="shared" si="3"/>
        <v>14.972855768055268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</v>
      </c>
      <c r="AI67" s="13">
        <f>IF('Données projet'!$A$62&gt;35,AI66+AH67-AQ66,IF(A67&lt;'Données projet'!$A$62,$AF$205^A67,IF(A67='Données projet'!$A$62,'Données projet'!$B$62,AI66+AH67-AQ66)))</f>
        <v>220.99999999999991</v>
      </c>
      <c r="AJ67" s="13">
        <f>AI67*VLOOKUP('Données projet'!$B$10,Paramètres!$A$1:$I$89,3,0)*VLOOKUP('Données projet'!$B$10,Paramètres!$A$1:$I$89,5,0)</f>
        <v>186.17039999999994</v>
      </c>
      <c r="AK67" s="13">
        <f t="shared" si="35"/>
        <v>46.692281933796018</v>
      </c>
      <c r="AL67" s="20">
        <f t="shared" si="4"/>
        <v>405.56917103469459</v>
      </c>
      <c r="AM67" s="59">
        <f t="shared" si="5"/>
        <v>698.90250436802785</v>
      </c>
      <c r="AN67" s="59">
        <f ca="1">AVERAGE(OFFSET($AM$3,0,0,'Données projet'!$E$10+1,1))-AVERAGE(OFFSET($H$3,0,0,'Données projet'!$E$10+1,1))</f>
        <v>276.71735592065937</v>
      </c>
      <c r="AO67" s="59">
        <f t="shared" si="36"/>
        <v>159.98571289571038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12.74592082130518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12.74592082130518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4.5474735088646412E-13</v>
      </c>
      <c r="O68" s="13">
        <f>N68*VLOOKUP('Données projet'!$B$9,Paramètres!$A$1:$I$89,3,0)*VLOOKUP('Données projet'!$B$9,Paramètres!$A$1:$I$89,5,0)</f>
        <v>2.7193891583010558E-13</v>
      </c>
      <c r="P68" s="13">
        <f t="shared" si="33"/>
        <v>3.6362267729089988E-12</v>
      </c>
      <c r="Q68" s="20">
        <f t="shared" si="54"/>
        <v>6.8067219078872727E-12</v>
      </c>
      <c r="R68" s="59">
        <f t="shared" si="55"/>
        <v>293.33333333334014</v>
      </c>
      <c r="S68" s="59">
        <f ca="1">AVERAGE(OFFSET($R$3,0,0,'Données projet'!$E$9+1,1))-AVERAGE(OFFSET($H$3,0,0,'Données projet'!$E$9+1,1))</f>
        <v>252.28378247570731</v>
      </c>
      <c r="T68" s="59">
        <f t="shared" si="34"/>
        <v>263.50418595307343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14.678945307575528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2.1773919488747822E-4</v>
      </c>
      <c r="AC68" s="22">
        <f t="shared" ref="AC68:AC131" si="57">SUM(Z68:AB68)</f>
        <v>14.679163046770416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</v>
      </c>
      <c r="AI68" s="13">
        <f>IF('Données projet'!$A$62&gt;35,AI67+AH68-AQ67,IF(A68&lt;'Données projet'!$A$62,$AF$205^A68,IF(A68='Données projet'!$A$62,'Données projet'!$B$62,AI67+AH68-AQ67)))</f>
        <v>227.99999999999991</v>
      </c>
      <c r="AJ68" s="13">
        <f>AI68*VLOOKUP('Données projet'!$B$10,Paramètres!$A$1:$I$89,3,0)*VLOOKUP('Données projet'!$B$10,Paramètres!$A$1:$I$89,5,0)</f>
        <v>192.06719999999996</v>
      </c>
      <c r="AK68" s="13">
        <f t="shared" si="35"/>
        <v>47.996693187894678</v>
      </c>
      <c r="AL68" s="20">
        <f t="shared" ref="AL68:AL131" si="58">(AJ68+AK68)*0.475*44/12</f>
        <v>418.11128063558311</v>
      </c>
      <c r="AM68" s="59">
        <f t="shared" ref="AM68:AM131" si="59">AL68+(AD68+AE68)*44/12</f>
        <v>711.44461396891643</v>
      </c>
      <c r="AN68" s="59">
        <f ca="1">AVERAGE(OFFSET($AM$3,0,0,'Données projet'!$E$10+1,1))-AVERAGE(OFFSET($H$3,0,0,'Données projet'!$E$10+1,1))</f>
        <v>276.71735592065937</v>
      </c>
      <c r="AO68" s="59">
        <f t="shared" si="36"/>
        <v>159.98571289571038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12.495981088243443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12.495981088243443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4.5474735088646412E-13</v>
      </c>
      <c r="O69" s="13">
        <f>N69*VLOOKUP('Données projet'!$B$9,Paramètres!$A$1:$I$89,3,0)*VLOOKUP('Données projet'!$B$9,Paramètres!$A$1:$I$89,5,0)</f>
        <v>2.7193891583010558E-13</v>
      </c>
      <c r="P69" s="13">
        <f t="shared" ref="P69:P132" si="87">EXP(-1.0587+0.8836*LN(O69)+0.284)</f>
        <v>3.6362267729089988E-12</v>
      </c>
      <c r="Q69" s="20">
        <f t="shared" si="54"/>
        <v>6.8067219078872727E-12</v>
      </c>
      <c r="R69" s="59">
        <f t="shared" si="55"/>
        <v>293.33333333334014</v>
      </c>
      <c r="S69" s="59">
        <f ca="1">AVERAGE(OFFSET($R$3,0,0,'Données projet'!$E$9+1,1))-AVERAGE(OFFSET($H$3,0,0,'Données projet'!$E$9+1,1))</f>
        <v>252.28378247570731</v>
      </c>
      <c r="T69" s="59">
        <f t="shared" ref="T69:T132" si="88">$T$3</f>
        <v>263.50418595307343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14.391100143366547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1.5396486123503509E-4</v>
      </c>
      <c r="AC69" s="22">
        <f t="shared" si="57"/>
        <v>14.391254108227782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</v>
      </c>
      <c r="AI69" s="13">
        <f>IF('Données projet'!$A$62&gt;35,AI68+AH69-AQ68,IF(A69&lt;'Données projet'!$A$62,$AF$205^A69,IF(A69='Données projet'!$A$62,'Données projet'!$B$62,AI68+AH69-AQ68)))</f>
        <v>234.99999999999991</v>
      </c>
      <c r="AJ69" s="13">
        <f>AI69*VLOOKUP('Données projet'!$B$10,Paramètres!$A$1:$I$89,3,0)*VLOOKUP('Données projet'!$B$10,Paramètres!$A$1:$I$89,5,0)</f>
        <v>197.96399999999994</v>
      </c>
      <c r="AK69" s="13">
        <f t="shared" ref="AK69:AK132" si="89">EXP(-1.0587+0.8836*LN(AJ69)+0.284)</f>
        <v>49.296450435147719</v>
      </c>
      <c r="AL69" s="20">
        <f t="shared" si="58"/>
        <v>430.6452845078822</v>
      </c>
      <c r="AM69" s="59">
        <f t="shared" si="59"/>
        <v>723.97861784121551</v>
      </c>
      <c r="AN69" s="59">
        <f ca="1">AVERAGE(OFFSET($AM$3,0,0,'Données projet'!$E$10+1,1))-AVERAGE(OFFSET($H$3,0,0,'Données projet'!$E$10+1,1))</f>
        <v>276.71735592065937</v>
      </c>
      <c r="AO69" s="59">
        <f t="shared" ref="AO69:AO132" si="90">$AO$3</f>
        <v>159.98571289571038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12.250942520898864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12.250942520898864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4.5474735088646412E-13</v>
      </c>
      <c r="O70" s="13">
        <f>N70*VLOOKUP('Données projet'!$B$9,Paramètres!$A$1:$I$89,3,0)*VLOOKUP('Données projet'!$B$9,Paramètres!$A$1:$I$89,5,0)</f>
        <v>2.7193891583010558E-13</v>
      </c>
      <c r="P70" s="13">
        <f t="shared" si="87"/>
        <v>3.6362267729089988E-12</v>
      </c>
      <c r="Q70" s="20">
        <f t="shared" si="54"/>
        <v>6.8067219078872727E-12</v>
      </c>
      <c r="R70" s="59">
        <f t="shared" si="55"/>
        <v>293.33333333334014</v>
      </c>
      <c r="S70" s="59">
        <f ca="1">AVERAGE(OFFSET($R$3,0,0,'Données projet'!$E$9+1,1))-AVERAGE(OFFSET($H$3,0,0,'Données projet'!$E$9+1,1))</f>
        <v>252.28378247570731</v>
      </c>
      <c r="T70" s="59">
        <f t="shared" si="88"/>
        <v>263.50418595307343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14.108899447259491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1.0886959744373911E-4</v>
      </c>
      <c r="AC70" s="22">
        <f t="shared" si="57"/>
        <v>14.109008316856935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</v>
      </c>
      <c r="AI70" s="13">
        <f>IF('Données projet'!$A$62&gt;35,AI69+AH70-AQ69,IF(A70&lt;'Données projet'!$A$62,$AF$205^A70,IF(A70='Données projet'!$A$62,'Données projet'!$B$62,AI69+AH70-AQ69)))</f>
        <v>241.99999999999991</v>
      </c>
      <c r="AJ70" s="13">
        <f>AI70*VLOOKUP('Données projet'!$B$10,Paramètres!$A$1:$I$89,3,0)*VLOOKUP('Données projet'!$B$10,Paramètres!$A$1:$I$89,5,0)</f>
        <v>203.86079999999993</v>
      </c>
      <c r="AK70" s="13">
        <f t="shared" si="89"/>
        <v>50.591708220421786</v>
      </c>
      <c r="AL70" s="20">
        <f t="shared" si="58"/>
        <v>443.17145181723453</v>
      </c>
      <c r="AM70" s="59">
        <f t="shared" si="59"/>
        <v>736.50478515056784</v>
      </c>
      <c r="AN70" s="59">
        <f ca="1">AVERAGE(OFFSET($AM$3,0,0,'Données projet'!$E$10+1,1))-AVERAGE(OFFSET($H$3,0,0,'Données projet'!$E$10+1,1))</f>
        <v>276.71735592065937</v>
      </c>
      <c r="AO70" s="59">
        <f t="shared" si="90"/>
        <v>159.98571289571038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12.010709010401143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12.010709010401143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4.5474735088646412E-13</v>
      </c>
      <c r="O71" s="13">
        <f>N71*VLOOKUP('Données projet'!$B$9,Paramètres!$A$1:$I$89,3,0)*VLOOKUP('Données projet'!$B$9,Paramètres!$A$1:$I$89,5,0)</f>
        <v>2.7193891583010558E-13</v>
      </c>
      <c r="P71" s="13">
        <f t="shared" si="87"/>
        <v>3.6362267729089988E-12</v>
      </c>
      <c r="Q71" s="20">
        <f t="shared" si="54"/>
        <v>6.8067219078872727E-12</v>
      </c>
      <c r="R71" s="59">
        <f t="shared" si="55"/>
        <v>293.33333333334014</v>
      </c>
      <c r="S71" s="59">
        <f ca="1">AVERAGE(OFFSET($R$3,0,0,'Données projet'!$E$9+1,1))-AVERAGE(OFFSET($H$3,0,0,'Données projet'!$E$9+1,1))</f>
        <v>252.28378247570731</v>
      </c>
      <c r="T71" s="59">
        <f t="shared" si="88"/>
        <v>263.50418595307343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13.832232534677665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7.6982430617517544E-5</v>
      </c>
      <c r="AC71" s="22">
        <f t="shared" si="57"/>
        <v>13.832309517108282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</v>
      </c>
      <c r="AI71" s="13">
        <f>IF('Données projet'!$A$62&gt;35,AI70+AH71-AQ70,IF(A71&lt;'Données projet'!$A$62,$AF$205^A71,IF(A71='Données projet'!$A$62,'Données projet'!$B$62,AI70+AH71-AQ70)))</f>
        <v>248.99999999999991</v>
      </c>
      <c r="AJ71" s="13">
        <f>AI71*VLOOKUP('Données projet'!$B$10,Paramètres!$A$1:$I$89,3,0)*VLOOKUP('Données projet'!$B$10,Paramètres!$A$1:$I$89,5,0)</f>
        <v>209.75759999999994</v>
      </c>
      <c r="AK71" s="13">
        <f t="shared" si="89"/>
        <v>51.88261163954845</v>
      </c>
      <c r="AL71" s="20">
        <f t="shared" si="58"/>
        <v>455.69003527221344</v>
      </c>
      <c r="AM71" s="59">
        <f t="shared" si="59"/>
        <v>749.02336860554669</v>
      </c>
      <c r="AN71" s="59">
        <f ca="1">AVERAGE(OFFSET($AM$3,0,0,'Données projet'!$E$10+1,1))-AVERAGE(OFFSET($H$3,0,0,'Données projet'!$E$10+1,1))</f>
        <v>276.71735592065937</v>
      </c>
      <c r="AO71" s="59">
        <f t="shared" si="90"/>
        <v>159.98571289571038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11.775186332516309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11.775186332516309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4.5474735088646412E-13</v>
      </c>
      <c r="O72" s="13">
        <f>N72*VLOOKUP('Données projet'!$B$9,Paramètres!$A$1:$I$89,3,0)*VLOOKUP('Données projet'!$B$9,Paramètres!$A$1:$I$89,5,0)</f>
        <v>2.7193891583010558E-13</v>
      </c>
      <c r="P72" s="13">
        <f t="shared" si="87"/>
        <v>3.6362267729089988E-12</v>
      </c>
      <c r="Q72" s="20">
        <f t="shared" si="54"/>
        <v>6.8067219078872727E-12</v>
      </c>
      <c r="R72" s="59">
        <f t="shared" si="55"/>
        <v>293.33333333334014</v>
      </c>
      <c r="S72" s="59">
        <f ca="1">AVERAGE(OFFSET($R$3,0,0,'Données projet'!$E$9+1,1))-AVERAGE(OFFSET($H$3,0,0,'Données projet'!$E$9+1,1))</f>
        <v>252.28378247570731</v>
      </c>
      <c r="T72" s="59">
        <f t="shared" si="88"/>
        <v>263.50418595307343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13.560990891501415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5.4434798721869556E-5</v>
      </c>
      <c r="AC72" s="22">
        <f t="shared" si="57"/>
        <v>13.561045326300137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</v>
      </c>
      <c r="AI72" s="13">
        <f>IF('Données projet'!$A$62&gt;35,AI71+AH72-AQ71,IF(A72&lt;'Données projet'!$A$62,$AF$205^A72,IF(A72='Données projet'!$A$62,'Données projet'!$B$62,AI71+AH72-AQ71)))</f>
        <v>255.99999999999991</v>
      </c>
      <c r="AJ72" s="13">
        <f>AI72*VLOOKUP('Données projet'!$B$10,Paramètres!$A$1:$I$89,3,0)*VLOOKUP('Données projet'!$B$10,Paramètres!$A$1:$I$89,5,0)</f>
        <v>215.65439999999992</v>
      </c>
      <c r="AK72" s="13">
        <f t="shared" si="89"/>
        <v>53.169297166239915</v>
      </c>
      <c r="AL72" s="20">
        <f t="shared" si="58"/>
        <v>468.20127256453446</v>
      </c>
      <c r="AM72" s="59">
        <f t="shared" si="59"/>
        <v>761.53460589786778</v>
      </c>
      <c r="AN72" s="59">
        <f ca="1">AVERAGE(OFFSET($AM$3,0,0,'Données projet'!$E$10+1,1))-AVERAGE(OFFSET($H$3,0,0,'Données projet'!$E$10+1,1))</f>
        <v>276.71735592065937</v>
      </c>
      <c r="AO72" s="59">
        <f t="shared" si="90"/>
        <v>159.98571289571038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11.544282110690148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11.544282110690148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4.5474735088646412E-13</v>
      </c>
      <c r="O73" s="13">
        <f>N73*VLOOKUP('Données projet'!$B$9,Paramètres!$A$1:$I$89,3,0)*VLOOKUP('Données projet'!$B$9,Paramètres!$A$1:$I$89,5,0)</f>
        <v>2.7193891583010558E-13</v>
      </c>
      <c r="P73" s="13">
        <f t="shared" si="87"/>
        <v>3.6362267729089988E-12</v>
      </c>
      <c r="Q73" s="20">
        <f t="shared" si="54"/>
        <v>6.8067219078872727E-12</v>
      </c>
      <c r="R73" s="59">
        <f t="shared" si="55"/>
        <v>293.33333333334014</v>
      </c>
      <c r="S73" s="59">
        <f ca="1">AVERAGE(OFFSET($R$3,0,0,'Données projet'!$E$9+1,1))-AVERAGE(OFFSET($H$3,0,0,'Données projet'!$E$9+1,1))</f>
        <v>252.28378247570731</v>
      </c>
      <c r="T73" s="59">
        <f t="shared" si="88"/>
        <v>263.50418595307343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13.295068131506785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3.8491215308758772E-5</v>
      </c>
      <c r="AC73" s="22">
        <f t="shared" si="57"/>
        <v>13.295106622722093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263</v>
      </c>
      <c r="AG73" s="12">
        <f>VLOOKUP(A73,'Données projet'!$A$61:$I$81,9,0)</f>
        <v>7</v>
      </c>
      <c r="AH73" s="12">
        <f t="array" ref="AH73">INDEX(AG:AG,MIN(IF(ISNUMBER(AG73:AG269),ROW(AG73:AG269),"")))</f>
        <v>7</v>
      </c>
      <c r="AI73" s="13">
        <f>IF('Données projet'!$A$62&gt;35,AI72+AH73-AQ72,IF(A73&lt;'Données projet'!$A$62,$AF$205^A73,IF(A73='Données projet'!$A$62,'Données projet'!$B$62,AI72+AH73-AQ72)))</f>
        <v>262.99999999999989</v>
      </c>
      <c r="AJ73" s="13">
        <f>AI73*VLOOKUP('Données projet'!$B$10,Paramètres!$A$1:$I$89,3,0)*VLOOKUP('Données projet'!$B$10,Paramètres!$A$1:$I$89,5,0)</f>
        <v>221.55119999999994</v>
      </c>
      <c r="AK73" s="13">
        <f t="shared" si="89"/>
        <v>54.451893386016494</v>
      </c>
      <c r="AL73" s="20">
        <f t="shared" si="58"/>
        <v>480.70538764731191</v>
      </c>
      <c r="AM73" s="59">
        <f t="shared" si="59"/>
        <v>774.03872098064517</v>
      </c>
      <c r="AN73" s="59">
        <f ca="1">AVERAGE(OFFSET($AM$3,0,0,'Données projet'!$E$10+1,1))-AVERAGE(OFFSET($H$3,0,0,'Données projet'!$E$10+1,1))</f>
        <v>276.71735592065937</v>
      </c>
      <c r="AO73" s="59">
        <f t="shared" si="90"/>
        <v>159.98571289571038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42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28.136249133613468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28.136249133613468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4.5474735088646412E-13</v>
      </c>
      <c r="O74" s="13">
        <f>N74*VLOOKUP('Données projet'!$B$9,Paramètres!$A$1:$I$89,3,0)*VLOOKUP('Données projet'!$B$9,Paramètres!$A$1:$I$89,5,0)</f>
        <v>2.7193891583010558E-13</v>
      </c>
      <c r="P74" s="13">
        <f t="shared" si="87"/>
        <v>3.6362267729089988E-12</v>
      </c>
      <c r="Q74" s="20">
        <f t="shared" si="54"/>
        <v>6.8067219078872727E-12</v>
      </c>
      <c r="R74" s="59">
        <f t="shared" si="55"/>
        <v>293.33333333334014</v>
      </c>
      <c r="S74" s="59">
        <f ca="1">AVERAGE(OFFSET($R$3,0,0,'Données projet'!$E$9+1,1))-AVERAGE(OFFSET($H$3,0,0,'Données projet'!$E$9+1,1))</f>
        <v>252.28378247570731</v>
      </c>
      <c r="T74" s="59">
        <f t="shared" si="88"/>
        <v>263.50418595307343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13.034359954638781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2.7217399360934778E-5</v>
      </c>
      <c r="AC74" s="22">
        <f t="shared" si="57"/>
        <v>13.034387172038141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</v>
      </c>
      <c r="AI74" s="13">
        <f>IF('Données projet'!$A$62&gt;35,AI73+AH74-AQ73,IF(A74&lt;'Données projet'!$A$62,$AF$205^A74,IF(A74='Données projet'!$A$62,'Données projet'!$B$62,AI73+AH74-AQ73)))</f>
        <v>227.19999999999987</v>
      </c>
      <c r="AJ74" s="13">
        <f>AI74*VLOOKUP('Données projet'!$B$10,Paramètres!$A$1:$I$89,3,0)*VLOOKUP('Données projet'!$B$10,Paramètres!$A$1:$I$89,5,0)</f>
        <v>191.39327999999992</v>
      </c>
      <c r="AK74" s="13">
        <f t="shared" si="89"/>
        <v>47.847856170442952</v>
      </c>
      <c r="AL74" s="20">
        <f t="shared" si="58"/>
        <v>416.6783121635213</v>
      </c>
      <c r="AM74" s="59">
        <f t="shared" si="59"/>
        <v>710.01164549685461</v>
      </c>
      <c r="AN74" s="59">
        <f ca="1">AVERAGE(OFFSET($AM$3,0,0,'Données projet'!$E$10+1,1))-AVERAGE(OFFSET($H$3,0,0,'Données projet'!$E$10+1,1))</f>
        <v>276.71735592065937</v>
      </c>
      <c r="AO74" s="59">
        <f t="shared" si="90"/>
        <v>159.98571289571038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27.584514449520729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27.584514449520729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4.5474735088646412E-13</v>
      </c>
      <c r="O75" s="13">
        <f>N75*VLOOKUP('Données projet'!$B$9,Paramètres!$A$1:$I$89,3,0)*VLOOKUP('Données projet'!$B$9,Paramètres!$A$1:$I$89,5,0)</f>
        <v>2.7193891583010558E-13</v>
      </c>
      <c r="P75" s="13">
        <f t="shared" si="87"/>
        <v>3.6362267729089988E-12</v>
      </c>
      <c r="Q75" s="20">
        <f t="shared" si="54"/>
        <v>6.8067219078872727E-12</v>
      </c>
      <c r="R75" s="59">
        <f t="shared" si="55"/>
        <v>293.33333333334014</v>
      </c>
      <c r="S75" s="59">
        <f ca="1">AVERAGE(OFFSET($R$3,0,0,'Données projet'!$E$9+1,1))-AVERAGE(OFFSET($H$3,0,0,'Données projet'!$E$9+1,1))</f>
        <v>252.28378247570731</v>
      </c>
      <c r="T75" s="59">
        <f t="shared" si="88"/>
        <v>263.50418595307343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12.778764106102871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1.9245607654379386E-5</v>
      </c>
      <c r="AC75" s="22">
        <f t="shared" si="57"/>
        <v>12.778783351710526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</v>
      </c>
      <c r="AI75" s="13">
        <f>IF('Données projet'!$A$62&gt;35,AI74+AH75-AQ74,IF(A75&lt;'Données projet'!$A$62,$AF$205^A75,IF(A75='Données projet'!$A$62,'Données projet'!$B$62,AI74+AH75-AQ74)))</f>
        <v>233.39999999999986</v>
      </c>
      <c r="AJ75" s="13">
        <f>AI75*VLOOKUP('Données projet'!$B$10,Paramètres!$A$1:$I$89,3,0)*VLOOKUP('Données projet'!$B$10,Paramètres!$A$1:$I$89,5,0)</f>
        <v>196.61615999999989</v>
      </c>
      <c r="AK75" s="13">
        <f t="shared" si="89"/>
        <v>48.999765174076508</v>
      </c>
      <c r="AL75" s="20">
        <f t="shared" si="58"/>
        <v>427.78106967818303</v>
      </c>
      <c r="AM75" s="59">
        <f t="shared" si="59"/>
        <v>721.11440301151629</v>
      </c>
      <c r="AN75" s="59">
        <f ca="1">AVERAGE(OFFSET($AM$3,0,0,'Données projet'!$E$10+1,1))-AVERAGE(OFFSET($H$3,0,0,'Données projet'!$E$10+1,1))</f>
        <v>276.71735592065937</v>
      </c>
      <c r="AO75" s="59">
        <f t="shared" si="90"/>
        <v>159.98571289571038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27.043598946058122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27.043598946058122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4.5474735088646412E-13</v>
      </c>
      <c r="O76" s="13">
        <f>N76*VLOOKUP('Données projet'!$B$9,Paramètres!$A$1:$I$89,3,0)*VLOOKUP('Données projet'!$B$9,Paramètres!$A$1:$I$89,5,0)</f>
        <v>2.7193891583010558E-13</v>
      </c>
      <c r="P76" s="13">
        <f t="shared" si="87"/>
        <v>3.6362267729089988E-12</v>
      </c>
      <c r="Q76" s="20">
        <f t="shared" si="54"/>
        <v>6.8067219078872727E-12</v>
      </c>
      <c r="R76" s="59">
        <f t="shared" si="55"/>
        <v>293.33333333334014</v>
      </c>
      <c r="S76" s="59">
        <f ca="1">AVERAGE(OFFSET($R$3,0,0,'Données projet'!$E$9+1,1))-AVERAGE(OFFSET($H$3,0,0,'Données projet'!$E$9+1,1))</f>
        <v>252.28378247570731</v>
      </c>
      <c r="T76" s="59">
        <f t="shared" si="88"/>
        <v>263.50418595307343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12.528180336258679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1.3608699680467389E-5</v>
      </c>
      <c r="AC76" s="22">
        <f t="shared" si="57"/>
        <v>12.528193944958359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</v>
      </c>
      <c r="AI76" s="13">
        <f>IF('Données projet'!$A$62&gt;35,AI75+AH76-AQ75,IF(A76&lt;'Données projet'!$A$62,$AF$205^A76,IF(A76='Données projet'!$A$62,'Données projet'!$B$62,AI75+AH76-AQ75)))</f>
        <v>239.59999999999985</v>
      </c>
      <c r="AJ76" s="13">
        <f>AI76*VLOOKUP('Données projet'!$B$10,Paramètres!$A$1:$I$89,3,0)*VLOOKUP('Données projet'!$B$10,Paramètres!$A$1:$I$89,5,0)</f>
        <v>201.8390399999999</v>
      </c>
      <c r="AK76" s="13">
        <f t="shared" si="89"/>
        <v>50.148117498343758</v>
      </c>
      <c r="AL76" s="20">
        <f t="shared" si="58"/>
        <v>438.87763264294853</v>
      </c>
      <c r="AM76" s="59">
        <f t="shared" si="59"/>
        <v>732.21096597628184</v>
      </c>
      <c r="AN76" s="59">
        <f ca="1">AVERAGE(OFFSET($AM$3,0,0,'Données projet'!$E$10+1,1))-AVERAGE(OFFSET($H$3,0,0,'Données projet'!$E$10+1,1))</f>
        <v>276.71735592065937</v>
      </c>
      <c r="AO76" s="59">
        <f t="shared" si="90"/>
        <v>159.98571289571038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26.513290465692535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26.513290465692535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4.5474735088646412E-13</v>
      </c>
      <c r="O77" s="13">
        <f>N77*VLOOKUP('Données projet'!$B$9,Paramètres!$A$1:$I$89,3,0)*VLOOKUP('Données projet'!$B$9,Paramètres!$A$1:$I$89,5,0)</f>
        <v>2.7193891583010558E-13</v>
      </c>
      <c r="P77" s="13">
        <f t="shared" si="87"/>
        <v>3.6362267729089988E-12</v>
      </c>
      <c r="Q77" s="20">
        <f t="shared" si="54"/>
        <v>6.8067219078872727E-12</v>
      </c>
      <c r="R77" s="59">
        <f t="shared" si="55"/>
        <v>293.33333333334014</v>
      </c>
      <c r="S77" s="59">
        <f ca="1">AVERAGE(OFFSET($R$3,0,0,'Données projet'!$E$9+1,1))-AVERAGE(OFFSET($H$3,0,0,'Données projet'!$E$9+1,1))</f>
        <v>252.28378247570731</v>
      </c>
      <c r="T77" s="59">
        <f t="shared" si="88"/>
        <v>263.50418595307343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12.282510361300123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9.622803827189693E-6</v>
      </c>
      <c r="AC77" s="22">
        <f t="shared" si="57"/>
        <v>12.282519984103949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</v>
      </c>
      <c r="AI77" s="13">
        <f>IF('Données projet'!$A$62&gt;35,AI76+AH77-AQ76,IF(A77&lt;'Données projet'!$A$62,$AF$205^A77,IF(A77='Données projet'!$A$62,'Données projet'!$B$62,AI76+AH77-AQ76)))</f>
        <v>245.79999999999984</v>
      </c>
      <c r="AJ77" s="13">
        <f>AI77*VLOOKUP('Données projet'!$B$10,Paramètres!$A$1:$I$89,3,0)*VLOOKUP('Données projet'!$B$10,Paramètres!$A$1:$I$89,5,0)</f>
        <v>207.06191999999987</v>
      </c>
      <c r="AK77" s="13">
        <f t="shared" si="89"/>
        <v>51.293015758902222</v>
      </c>
      <c r="AL77" s="20">
        <f t="shared" si="58"/>
        <v>449.96817978008784</v>
      </c>
      <c r="AM77" s="59">
        <f t="shared" si="59"/>
        <v>743.30151311342115</v>
      </c>
      <c r="AN77" s="59">
        <f ca="1">AVERAGE(OFFSET($AM$3,0,0,'Données projet'!$E$10+1,1))-AVERAGE(OFFSET($H$3,0,0,'Données projet'!$E$10+1,1))</f>
        <v>276.71735592065937</v>
      </c>
      <c r="AO77" s="59">
        <f t="shared" si="90"/>
        <v>159.98571289571038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25.993381011170683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25.993381011170683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4.5474735088646412E-13</v>
      </c>
      <c r="O78" s="13">
        <f>N78*VLOOKUP('Données projet'!$B$9,Paramètres!$A$1:$I$89,3,0)*VLOOKUP('Données projet'!$B$9,Paramètres!$A$1:$I$89,5,0)</f>
        <v>2.7193891583010558E-13</v>
      </c>
      <c r="P78" s="13">
        <f t="shared" si="87"/>
        <v>3.6362267729089988E-12</v>
      </c>
      <c r="Q78" s="20">
        <f t="shared" si="54"/>
        <v>6.8067219078872727E-12</v>
      </c>
      <c r="R78" s="59">
        <f t="shared" si="55"/>
        <v>293.33333333334014</v>
      </c>
      <c r="S78" s="59">
        <f ca="1">AVERAGE(OFFSET($R$3,0,0,'Données projet'!$E$9+1,1))-AVERAGE(OFFSET($H$3,0,0,'Données projet'!$E$9+1,1))</f>
        <v>252.28378247570731</v>
      </c>
      <c r="T78" s="59">
        <f t="shared" si="88"/>
        <v>263.50418595307343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12.041657824706615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6.8043498402336945E-6</v>
      </c>
      <c r="AC78" s="22">
        <f t="shared" si="57"/>
        <v>12.041664629056456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6.2</v>
      </c>
      <c r="AI78" s="13">
        <f>IF('Données projet'!$A$62&gt;35,AI77+AH78-AQ77,IF(A78&lt;'Données projet'!$A$62,$AF$205^A78,IF(A78='Données projet'!$A$62,'Données projet'!$B$62,AI77+AH78-AQ77)))</f>
        <v>251.99999999999983</v>
      </c>
      <c r="AJ78" s="13">
        <f>AI78*VLOOKUP('Données projet'!$B$10,Paramètres!$A$1:$I$89,3,0)*VLOOKUP('Données projet'!$B$10,Paramètres!$A$1:$I$89,5,0)</f>
        <v>212.2847999999999</v>
      </c>
      <c r="AK78" s="13">
        <f t="shared" si="89"/>
        <v>52.434557099704143</v>
      </c>
      <c r="AL78" s="20">
        <f t="shared" si="58"/>
        <v>461.05288028198453</v>
      </c>
      <c r="AM78" s="59">
        <f t="shared" si="59"/>
        <v>754.38621361531784</v>
      </c>
      <c r="AN78" s="59">
        <f ca="1">AVERAGE(OFFSET($AM$3,0,0,'Données projet'!$E$10+1,1))-AVERAGE(OFFSET($H$3,0,0,'Données projet'!$E$10+1,1))</f>
        <v>276.71735592065937</v>
      </c>
      <c r="AO78" s="59">
        <f t="shared" si="90"/>
        <v>159.98571289571038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25.48366666393855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25.48366666393855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4.5474735088646412E-13</v>
      </c>
      <c r="O79" s="13">
        <f>N79*VLOOKUP('Données projet'!$B$9,Paramètres!$A$1:$I$89,3,0)*VLOOKUP('Données projet'!$B$9,Paramètres!$A$1:$I$89,5,0)</f>
        <v>2.7193891583010558E-13</v>
      </c>
      <c r="P79" s="13">
        <f t="shared" si="87"/>
        <v>3.6362267729089988E-12</v>
      </c>
      <c r="Q79" s="20">
        <f t="shared" si="54"/>
        <v>6.8067219078872727E-12</v>
      </c>
      <c r="R79" s="59">
        <f t="shared" si="55"/>
        <v>293.33333333334014</v>
      </c>
      <c r="S79" s="59">
        <f ca="1">AVERAGE(OFFSET($R$3,0,0,'Données projet'!$E$9+1,1))-AVERAGE(OFFSET($H$3,0,0,'Données projet'!$E$9+1,1))</f>
        <v>252.28378247570731</v>
      </c>
      <c r="T79" s="59">
        <f t="shared" si="88"/>
        <v>263.50418595307343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11.805528259450163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4.8114019135948465E-6</v>
      </c>
      <c r="AC79" s="22">
        <f t="shared" si="57"/>
        <v>11.805533070852077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6.2</v>
      </c>
      <c r="AI79" s="13">
        <f>IF('Données projet'!$A$62&gt;35,AI78+AH79-AQ78,IF(A79&lt;'Données projet'!$A$62,$AF$205^A79,IF(A79='Données projet'!$A$62,'Données projet'!$B$62,AI78+AH79-AQ78)))</f>
        <v>258.19999999999982</v>
      </c>
      <c r="AJ79" s="13">
        <f>AI79*VLOOKUP('Données projet'!$B$10,Paramètres!$A$1:$I$89,3,0)*VLOOKUP('Données projet'!$B$10,Paramètres!$A$1:$I$89,5,0)</f>
        <v>217.50767999999988</v>
      </c>
      <c r="AK79" s="13">
        <f t="shared" si="89"/>
        <v>53.572833612101029</v>
      </c>
      <c r="AL79" s="20">
        <f t="shared" si="58"/>
        <v>472.13189454107578</v>
      </c>
      <c r="AM79" s="59">
        <f t="shared" si="59"/>
        <v>765.46522787440904</v>
      </c>
      <c r="AN79" s="59">
        <f ca="1">AVERAGE(OFFSET($AM$3,0,0,'Données projet'!$E$10+1,1))-AVERAGE(OFFSET($H$3,0,0,'Données projet'!$E$10+1,1))</f>
        <v>276.71735592065937</v>
      </c>
      <c r="AO79" s="59">
        <f t="shared" si="90"/>
        <v>159.98571289571038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24.983947504160586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24.983947504160586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4.5474735088646412E-13</v>
      </c>
      <c r="O80" s="13">
        <f>N80*VLOOKUP('Données projet'!$B$9,Paramètres!$A$1:$I$89,3,0)*VLOOKUP('Données projet'!$B$9,Paramètres!$A$1:$I$89,5,0)</f>
        <v>2.7193891583010558E-13</v>
      </c>
      <c r="P80" s="13">
        <f t="shared" si="87"/>
        <v>3.6362267729089988E-12</v>
      </c>
      <c r="Q80" s="20">
        <f t="shared" si="54"/>
        <v>6.8067219078872727E-12</v>
      </c>
      <c r="R80" s="59">
        <f t="shared" si="55"/>
        <v>293.33333333334014</v>
      </c>
      <c r="S80" s="59">
        <f ca="1">AVERAGE(OFFSET($R$3,0,0,'Données projet'!$E$9+1,1))-AVERAGE(OFFSET($H$3,0,0,'Données projet'!$E$9+1,1))</f>
        <v>252.28378247570731</v>
      </c>
      <c r="T80" s="59">
        <f t="shared" si="88"/>
        <v>263.50418595307343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11.574029050943578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3.4021749201168472E-6</v>
      </c>
      <c r="AC80" s="22">
        <f t="shared" si="57"/>
        <v>11.574032453118498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6.2</v>
      </c>
      <c r="AI80" s="13">
        <f>IF('Données projet'!$A$62&gt;35,AI79+AH80-AQ79,IF(A80&lt;'Données projet'!$A$62,$AF$205^A80,IF(A80='Données projet'!$A$62,'Données projet'!$B$62,AI79+AH80-AQ79)))</f>
        <v>264.39999999999981</v>
      </c>
      <c r="AJ80" s="13">
        <f>AI80*VLOOKUP('Données projet'!$B$10,Paramètres!$A$1:$I$89,3,0)*VLOOKUP('Données projet'!$B$10,Paramètres!$A$1:$I$89,5,0)</f>
        <v>222.73055999999985</v>
      </c>
      <c r="AK80" s="13">
        <f t="shared" si="89"/>
        <v>54.707932712558836</v>
      </c>
      <c r="AL80" s="20">
        <f t="shared" si="58"/>
        <v>483.20537480770639</v>
      </c>
      <c r="AM80" s="59">
        <f t="shared" si="59"/>
        <v>776.53870814103971</v>
      </c>
      <c r="AN80" s="59">
        <f ca="1">AVERAGE(OFFSET($AM$3,0,0,'Données projet'!$E$10+1,1))-AVERAGE(OFFSET($H$3,0,0,'Données projet'!$E$10+1,1))</f>
        <v>276.71735592065937</v>
      </c>
      <c r="AO80" s="59">
        <f t="shared" si="90"/>
        <v>159.98571289571038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24.494027532307278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24.494027532307278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4.5474735088646412E-13</v>
      </c>
      <c r="O81" s="13">
        <f>N81*VLOOKUP('Données projet'!$B$9,Paramètres!$A$1:$I$89,3,0)*VLOOKUP('Données projet'!$B$9,Paramètres!$A$1:$I$89,5,0)</f>
        <v>2.7193891583010558E-13</v>
      </c>
      <c r="P81" s="13">
        <f t="shared" si="87"/>
        <v>3.6362267729089988E-12</v>
      </c>
      <c r="Q81" s="20">
        <f t="shared" si="54"/>
        <v>6.8067219078872727E-12</v>
      </c>
      <c r="R81" s="59">
        <f t="shared" si="55"/>
        <v>293.33333333334014</v>
      </c>
      <c r="S81" s="59">
        <f ca="1">AVERAGE(OFFSET($R$3,0,0,'Données projet'!$E$9+1,1))-AVERAGE(OFFSET($H$3,0,0,'Données projet'!$E$9+1,1))</f>
        <v>252.28378247570731</v>
      </c>
      <c r="T81" s="59">
        <f t="shared" si="88"/>
        <v>263.50418595307343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11.347069400715231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2.4057009567974233E-6</v>
      </c>
      <c r="AC81" s="22">
        <f t="shared" si="57"/>
        <v>11.347071806416189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6.2</v>
      </c>
      <c r="AI81" s="13">
        <f>IF('Données projet'!$A$62&gt;35,AI80+AH81-AQ80,IF(A81&lt;'Données projet'!$A$62,$AF$205^A81,IF(A81='Données projet'!$A$62,'Données projet'!$B$62,AI80+AH81-AQ80)))</f>
        <v>270.5999999999998</v>
      </c>
      <c r="AJ81" s="13">
        <f>AI81*VLOOKUP('Données projet'!$B$10,Paramètres!$A$1:$I$89,3,0)*VLOOKUP('Données projet'!$B$10,Paramètres!$A$1:$I$89,5,0)</f>
        <v>227.95343999999986</v>
      </c>
      <c r="AK81" s="13">
        <f t="shared" si="89"/>
        <v>55.839937483946905</v>
      </c>
      <c r="AL81" s="20">
        <f t="shared" si="58"/>
        <v>494.27346578454058</v>
      </c>
      <c r="AM81" s="59">
        <f t="shared" si="59"/>
        <v>787.60679911787383</v>
      </c>
      <c r="AN81" s="59">
        <f ca="1">AVERAGE(OFFSET($AM$3,0,0,'Données projet'!$E$10+1,1))-AVERAGE(OFFSET($H$3,0,0,'Données projet'!$E$10+1,1))</f>
        <v>276.71735592065937</v>
      </c>
      <c r="AO81" s="59">
        <f t="shared" si="90"/>
        <v>159.98571289571038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24.013714592280337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24.013714592280337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4.5474735088646412E-13</v>
      </c>
      <c r="O82" s="13">
        <f>N82*VLOOKUP('Données projet'!$B$9,Paramètres!$A$1:$I$89,3,0)*VLOOKUP('Données projet'!$B$9,Paramètres!$A$1:$I$89,5,0)</f>
        <v>2.7193891583010558E-13</v>
      </c>
      <c r="P82" s="13">
        <f t="shared" si="87"/>
        <v>3.6362267729089988E-12</v>
      </c>
      <c r="Q82" s="20">
        <f t="shared" si="54"/>
        <v>6.8067219078872727E-12</v>
      </c>
      <c r="R82" s="59">
        <f t="shared" si="55"/>
        <v>293.33333333334014</v>
      </c>
      <c r="S82" s="59">
        <f ca="1">AVERAGE(OFFSET($R$3,0,0,'Données projet'!$E$9+1,1))-AVERAGE(OFFSET($H$3,0,0,'Données projet'!$E$9+1,1))</f>
        <v>252.28378247570731</v>
      </c>
      <c r="T82" s="59">
        <f t="shared" si="88"/>
        <v>263.50418595307343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11.124560290796145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1.7010874600584236E-6</v>
      </c>
      <c r="AC82" s="22">
        <f t="shared" si="57"/>
        <v>11.124561991883605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6.2</v>
      </c>
      <c r="AI82" s="13">
        <f>IF('Données projet'!$A$62&gt;35,AI81+AH82-AQ81,IF(A82&lt;'Données projet'!$A$62,$AF$205^A82,IF(A82='Données projet'!$A$62,'Données projet'!$B$62,AI81+AH82-AQ81)))</f>
        <v>276.79999999999978</v>
      </c>
      <c r="AJ82" s="13">
        <f>AI82*VLOOKUP('Données projet'!$B$10,Paramètres!$A$1:$I$89,3,0)*VLOOKUP('Données projet'!$B$10,Paramètres!$A$1:$I$89,5,0)</f>
        <v>233.17631999999983</v>
      </c>
      <c r="AK82" s="13">
        <f t="shared" si="89"/>
        <v>56.968926984666723</v>
      </c>
      <c r="AL82" s="20">
        <f t="shared" si="58"/>
        <v>505.33630516496095</v>
      </c>
      <c r="AM82" s="59">
        <f t="shared" si="59"/>
        <v>798.66963849829426</v>
      </c>
      <c r="AN82" s="59">
        <f ca="1">AVERAGE(OFFSET($AM$3,0,0,'Données projet'!$E$10+1,1))-AVERAGE(OFFSET($H$3,0,0,'Données projet'!$E$10+1,1))</f>
        <v>276.71735592065937</v>
      </c>
      <c r="AO82" s="59">
        <f t="shared" si="90"/>
        <v>159.98571289571038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23.542820296045356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23.542820296045356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4.5474735088646412E-13</v>
      </c>
      <c r="O83" s="13">
        <f>N83*VLOOKUP('Données projet'!$B$9,Paramètres!$A$1:$I$89,3,0)*VLOOKUP('Données projet'!$B$9,Paramètres!$A$1:$I$89,5,0)</f>
        <v>2.7193891583010558E-13</v>
      </c>
      <c r="P83" s="13">
        <f t="shared" si="87"/>
        <v>3.6362267729089988E-12</v>
      </c>
      <c r="Q83" s="20">
        <f t="shared" si="54"/>
        <v>6.8067219078872727E-12</v>
      </c>
      <c r="R83" s="59">
        <f t="shared" si="55"/>
        <v>293.33333333334014</v>
      </c>
      <c r="S83" s="59">
        <f ca="1">AVERAGE(OFFSET($R$3,0,0,'Données projet'!$E$9+1,1))-AVERAGE(OFFSET($H$3,0,0,'Données projet'!$E$9+1,1))</f>
        <v>252.28378247570731</v>
      </c>
      <c r="T83" s="59">
        <f t="shared" si="88"/>
        <v>263.50418595307343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10.906414448805416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1.2028504783987116E-6</v>
      </c>
      <c r="AC83" s="22">
        <f t="shared" si="57"/>
        <v>10.906415651655895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283</v>
      </c>
      <c r="AG83" s="12">
        <f>VLOOKUP(A83,'Données projet'!$A$61:$I$81,9,0)</f>
        <v>6.2</v>
      </c>
      <c r="AH83" s="12">
        <f t="array" ref="AH83">INDEX(AG:AG,MIN(IF(ISNUMBER(AG83:AG279),ROW(AG83:AG279),"")))</f>
        <v>6.2</v>
      </c>
      <c r="AI83" s="13">
        <f>IF('Données projet'!$A$62&gt;35,AI82+AH83-AQ82,IF(A83&lt;'Données projet'!$A$62,$AF$205^A83,IF(A83='Données projet'!$A$62,'Données projet'!$B$62,AI82+AH83-AQ82)))</f>
        <v>282.99999999999977</v>
      </c>
      <c r="AJ83" s="13">
        <f>AI83*VLOOKUP('Données projet'!$B$10,Paramètres!$A$1:$I$89,3,0)*VLOOKUP('Données projet'!$B$10,Paramètres!$A$1:$I$89,5,0)</f>
        <v>238.39919999999981</v>
      </c>
      <c r="AK83" s="13">
        <f t="shared" si="89"/>
        <v>58.094976529303359</v>
      </c>
      <c r="AL83" s="20">
        <f t="shared" si="58"/>
        <v>516.39402412186962</v>
      </c>
      <c r="AM83" s="59">
        <f t="shared" si="59"/>
        <v>809.72735745520299</v>
      </c>
      <c r="AN83" s="59">
        <f ca="1">AVERAGE(OFFSET($AM$3,0,0,'Données projet'!$E$10+1,1))-AVERAGE(OFFSET($H$3,0,0,'Données projet'!$E$10+1,1))</f>
        <v>276.71735592065937</v>
      </c>
      <c r="AO83" s="59">
        <f t="shared" si="90"/>
        <v>159.98571289571038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42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23.081159949742386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23.081159949742386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2.7193891583010558E-13</v>
      </c>
      <c r="P84" s="13">
        <f t="shared" si="87"/>
        <v>3.6362267729089988E-12</v>
      </c>
      <c r="Q84" s="20">
        <f t="shared" si="54"/>
        <v>6.8067219078872727E-12</v>
      </c>
      <c r="R84" s="59">
        <f t="shared" si="55"/>
        <v>293.33333333334014</v>
      </c>
      <c r="S84" s="59">
        <f ca="1">AVERAGE(OFFSET($R$3,0,0,'Données projet'!$E$9+1,1))-AVERAGE(OFFSET($H$3,0,0,'Données projet'!$E$9+1,1))</f>
        <v>252.28378247570731</v>
      </c>
      <c r="T84" s="59">
        <f t="shared" si="88"/>
        <v>263.50418595307343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10.6925463137203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8.5054373002921181E-7</v>
      </c>
      <c r="AC84" s="22">
        <f t="shared" si="57"/>
        <v>10.692547164264029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5.5</v>
      </c>
      <c r="AI84" s="13">
        <f>IF('Données projet'!$A$62&gt;35,AI83+AH84-AQ83,IF(A84&lt;'Données projet'!$A$62,$AF$205^A84,IF(A84='Données projet'!$A$62,'Données projet'!$B$62,AI83+AH84-AQ83)))</f>
        <v>246.49999999999977</v>
      </c>
      <c r="AJ84" s="13">
        <f>AI84*VLOOKUP('Données projet'!$B$10,Paramètres!$A$1:$I$89,3,0)*VLOOKUP('Données projet'!$B$10,Paramètres!$A$1:$I$89,5,0)</f>
        <v>207.65159999999986</v>
      </c>
      <c r="AK84" s="13">
        <f t="shared" si="89"/>
        <v>51.422065813018065</v>
      </c>
      <c r="AL84" s="20">
        <f t="shared" si="58"/>
        <v>451.21996795767285</v>
      </c>
      <c r="AM84" s="59">
        <f t="shared" si="59"/>
        <v>744.55330129100616</v>
      </c>
      <c r="AN84" s="59">
        <f ca="1">AVERAGE(OFFSET($AM$3,0,0,'Données projet'!$E$10+1,1))-AVERAGE(OFFSET($H$3,0,0,'Données projet'!$E$10+1,1))</f>
        <v>276.71735592065937</v>
      </c>
      <c r="AO84" s="59">
        <f t="shared" si="90"/>
        <v>159.98571289571038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22.628552481245407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22.628552481245407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2.7193891583010558E-13</v>
      </c>
      <c r="P85" s="13">
        <f t="shared" si="87"/>
        <v>3.6362267729089988E-12</v>
      </c>
      <c r="Q85" s="20">
        <f t="shared" si="54"/>
        <v>6.8067219078872727E-12</v>
      </c>
      <c r="R85" s="59">
        <f t="shared" si="55"/>
        <v>293.33333333334014</v>
      </c>
      <c r="S85" s="59">
        <f ca="1">AVERAGE(OFFSET($R$3,0,0,'Données projet'!$E$9+1,1))-AVERAGE(OFFSET($H$3,0,0,'Données projet'!$E$9+1,1))</f>
        <v>252.28378247570731</v>
      </c>
      <c r="T85" s="59">
        <f t="shared" si="88"/>
        <v>263.50418595307343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10.482872002317521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6.0142523919935582E-7</v>
      </c>
      <c r="AC85" s="22">
        <f t="shared" si="57"/>
        <v>10.482872603742759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5.5</v>
      </c>
      <c r="AI85" s="13">
        <f>IF('Données projet'!$A$62&gt;35,AI84+AH85-AQ84,IF(A85&lt;'Données projet'!$A$62,$AF$205^A85,IF(A85='Données projet'!$A$62,'Données projet'!$B$62,AI84+AH85-AQ84)))</f>
        <v>251.99999999999977</v>
      </c>
      <c r="AJ85" s="13">
        <f>AI85*VLOOKUP('Données projet'!$B$10,Paramètres!$A$1:$I$89,3,0)*VLOOKUP('Données projet'!$B$10,Paramètres!$A$1:$I$89,5,0)</f>
        <v>212.28479999999985</v>
      </c>
      <c r="AK85" s="13">
        <f t="shared" si="89"/>
        <v>52.434557099704143</v>
      </c>
      <c r="AL85" s="20">
        <f t="shared" si="58"/>
        <v>461.05288028198441</v>
      </c>
      <c r="AM85" s="59">
        <f t="shared" si="59"/>
        <v>754.38621361531773</v>
      </c>
      <c r="AN85" s="59">
        <f ca="1">AVERAGE(OFFSET($AM$3,0,0,'Données projet'!$E$10+1,1))-AVERAGE(OFFSET($H$3,0,0,'Données projet'!$E$10+1,1))</f>
        <v>276.71735592065937</v>
      </c>
      <c r="AO85" s="59">
        <f t="shared" si="90"/>
        <v>159.98571289571038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22.184820369142358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22.184820369142358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2.7193891583010558E-13</v>
      </c>
      <c r="P86" s="13">
        <f t="shared" si="87"/>
        <v>3.6362267729089988E-12</v>
      </c>
      <c r="Q86" s="20">
        <f t="shared" si="54"/>
        <v>6.8067219078872727E-12</v>
      </c>
      <c r="R86" s="59">
        <f t="shared" si="55"/>
        <v>293.33333333334014</v>
      </c>
      <c r="S86" s="59">
        <f ca="1">AVERAGE(OFFSET($R$3,0,0,'Données projet'!$E$9+1,1))-AVERAGE(OFFSET($H$3,0,0,'Données projet'!$E$9+1,1))</f>
        <v>252.28378247570731</v>
      </c>
      <c r="T86" s="59">
        <f t="shared" si="88"/>
        <v>263.50418595307343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10.277309276272648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4.252718650146059E-7</v>
      </c>
      <c r="AC86" s="22">
        <f t="shared" si="57"/>
        <v>10.277309701544514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5.5</v>
      </c>
      <c r="AI86" s="13">
        <f>IF('Données projet'!$A$62&gt;35,AI85+AH86-AQ85,IF(A86&lt;'Données projet'!$A$62,$AF$205^A86,IF(A86='Données projet'!$A$62,'Données projet'!$B$62,AI85+AH86-AQ85)))</f>
        <v>257.49999999999977</v>
      </c>
      <c r="AJ86" s="13">
        <f>AI86*VLOOKUP('Données projet'!$B$10,Paramètres!$A$1:$I$89,3,0)*VLOOKUP('Données projet'!$B$10,Paramètres!$A$1:$I$89,5,0)</f>
        <v>216.91799999999984</v>
      </c>
      <c r="AK86" s="13">
        <f t="shared" si="89"/>
        <v>53.444479225346448</v>
      </c>
      <c r="AL86" s="20">
        <f t="shared" si="58"/>
        <v>470.88131798414474</v>
      </c>
      <c r="AM86" s="59">
        <f t="shared" si="59"/>
        <v>764.214651317478</v>
      </c>
      <c r="AN86" s="59">
        <f ca="1">AVERAGE(OFFSET($AM$3,0,0,'Données projet'!$E$10+1,1))-AVERAGE(OFFSET($H$3,0,0,'Données projet'!$E$10+1,1))</f>
        <v>276.71735592065937</v>
      </c>
      <c r="AO86" s="59">
        <f t="shared" si="90"/>
        <v>159.98571289571038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21.749789573107787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21.749789573107787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2.7193891583010558E-13</v>
      </c>
      <c r="P87" s="13">
        <f t="shared" si="87"/>
        <v>3.6362267729089988E-12</v>
      </c>
      <c r="Q87" s="20">
        <f t="shared" si="54"/>
        <v>6.8067219078872727E-12</v>
      </c>
      <c r="R87" s="59">
        <f t="shared" si="55"/>
        <v>293.33333333334014</v>
      </c>
      <c r="S87" s="59">
        <f ca="1">AVERAGE(OFFSET($R$3,0,0,'Données projet'!$E$9+1,1))-AVERAGE(OFFSET($H$3,0,0,'Données projet'!$E$9+1,1))</f>
        <v>252.28378247570731</v>
      </c>
      <c r="T87" s="59">
        <f t="shared" si="88"/>
        <v>263.50418595307343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10.075777509904633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3.0071261959967791E-7</v>
      </c>
      <c r="AC87" s="22">
        <f t="shared" si="57"/>
        <v>10.075777810617252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5.5</v>
      </c>
      <c r="AI87" s="13">
        <f>IF('Données projet'!$A$62&gt;35,AI86+AH87-AQ86,IF(A87&lt;'Données projet'!$A$62,$AF$205^A87,IF(A87='Données projet'!$A$62,'Données projet'!$B$62,AI86+AH87-AQ86)))</f>
        <v>262.99999999999977</v>
      </c>
      <c r="AJ87" s="13">
        <f>AI87*VLOOKUP('Données projet'!$B$10,Paramètres!$A$1:$I$89,3,0)*VLOOKUP('Données projet'!$B$10,Paramètres!$A$1:$I$89,5,0)</f>
        <v>221.55119999999985</v>
      </c>
      <c r="AK87" s="13">
        <f t="shared" si="89"/>
        <v>54.451893386016494</v>
      </c>
      <c r="AL87" s="20">
        <f t="shared" si="58"/>
        <v>480.70538764731185</v>
      </c>
      <c r="AM87" s="59">
        <f t="shared" si="59"/>
        <v>774.03872098064517</v>
      </c>
      <c r="AN87" s="59">
        <f ca="1">AVERAGE(OFFSET($AM$3,0,0,'Données projet'!$E$10+1,1))-AVERAGE(OFFSET($H$3,0,0,'Données projet'!$E$10+1,1))</f>
        <v>276.71735592065937</v>
      </c>
      <c r="AO87" s="59">
        <f t="shared" si="90"/>
        <v>159.98571289571038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21.323289465640869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21.323289465640869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2.7193891583010558E-13</v>
      </c>
      <c r="P88" s="13">
        <f t="shared" si="87"/>
        <v>3.6362267729089988E-12</v>
      </c>
      <c r="Q88" s="20">
        <f t="shared" si="54"/>
        <v>6.8067219078872727E-12</v>
      </c>
      <c r="R88" s="59">
        <f t="shared" si="55"/>
        <v>293.33333333334014</v>
      </c>
      <c r="S88" s="59">
        <f ca="1">AVERAGE(OFFSET($R$3,0,0,'Données projet'!$E$9+1,1))-AVERAGE(OFFSET($H$3,0,0,'Données projet'!$E$9+1,1))</f>
        <v>252.28378247570731</v>
      </c>
      <c r="T88" s="59">
        <f t="shared" si="88"/>
        <v>263.50418595307343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9.878197658552855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2.1263593250730295E-7</v>
      </c>
      <c r="AC88" s="22">
        <f t="shared" si="57"/>
        <v>9.878197871188787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5.5</v>
      </c>
      <c r="AI88" s="13">
        <f>IF('Données projet'!$A$62&gt;35,AI87+AH88-AQ87,IF(A88&lt;'Données projet'!$A$62,$AF$205^A88,IF(A88='Données projet'!$A$62,'Données projet'!$B$62,AI87+AH88-AQ87)))</f>
        <v>268.49999999999977</v>
      </c>
      <c r="AJ88" s="13">
        <f>AI88*VLOOKUP('Données projet'!$B$10,Paramètres!$A$1:$I$89,3,0)*VLOOKUP('Données projet'!$B$10,Paramètres!$A$1:$I$89,5,0)</f>
        <v>226.18439999999984</v>
      </c>
      <c r="AK88" s="13">
        <f t="shared" si="89"/>
        <v>55.456858071991427</v>
      </c>
      <c r="AL88" s="20">
        <f t="shared" si="58"/>
        <v>490.52519114205143</v>
      </c>
      <c r="AM88" s="59">
        <f t="shared" si="59"/>
        <v>783.85852447538468</v>
      </c>
      <c r="AN88" s="59">
        <f ca="1">AVERAGE(OFFSET($AM$3,0,0,'Données projet'!$E$10+1,1))-AVERAGE(OFFSET($H$3,0,0,'Données projet'!$E$10+1,1))</f>
        <v>276.71735592065937</v>
      </c>
      <c r="AO88" s="59">
        <f t="shared" si="90"/>
        <v>159.98571289571038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20.905152765141999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20.905152765141999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2.7193891583010558E-13</v>
      </c>
      <c r="P89" s="13">
        <f t="shared" si="87"/>
        <v>3.6362267729089988E-12</v>
      </c>
      <c r="Q89" s="20">
        <f t="shared" si="54"/>
        <v>6.8067219078872727E-12</v>
      </c>
      <c r="R89" s="59">
        <f t="shared" si="55"/>
        <v>293.33333333334014</v>
      </c>
      <c r="S89" s="59">
        <f ca="1">AVERAGE(OFFSET($R$3,0,0,'Données projet'!$E$9+1,1))-AVERAGE(OFFSET($H$3,0,0,'Données projet'!$E$9+1,1))</f>
        <v>252.28378247570731</v>
      </c>
      <c r="T89" s="59">
        <f t="shared" si="88"/>
        <v>263.50418595307343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9.6844922275742746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1.5035630979983895E-7</v>
      </c>
      <c r="AC89" s="22">
        <f t="shared" si="57"/>
        <v>9.6844923779305851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5.5</v>
      </c>
      <c r="AI89" s="13">
        <f>IF('Données projet'!$A$62&gt;35,AI88+AH89-AQ88,IF(A89&lt;'Données projet'!$A$62,$AF$205^A89,IF(A89='Données projet'!$A$62,'Données projet'!$B$62,AI88+AH89-AQ88)))</f>
        <v>273.99999999999977</v>
      </c>
      <c r="AJ89" s="13">
        <f>AI89*VLOOKUP('Données projet'!$B$10,Paramètres!$A$1:$I$89,3,0)*VLOOKUP('Données projet'!$B$10,Paramètres!$A$1:$I$89,5,0)</f>
        <v>230.81759999999986</v>
      </c>
      <c r="AK89" s="13">
        <f t="shared" si="89"/>
        <v>56.459429240325889</v>
      </c>
      <c r="AL89" s="20">
        <f t="shared" si="58"/>
        <v>500.34082592690061</v>
      </c>
      <c r="AM89" s="59">
        <f t="shared" si="59"/>
        <v>793.67415926023386</v>
      </c>
      <c r="AN89" s="59">
        <f ca="1">AVERAGE(OFFSET($AM$3,0,0,'Données projet'!$E$10+1,1))-AVERAGE(OFFSET($H$3,0,0,'Données projet'!$E$10+1,1))</f>
        <v>276.71735592065937</v>
      </c>
      <c r="AO89" s="59">
        <f t="shared" si="90"/>
        <v>159.98571289571038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20.495215470301705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20.495215470301705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2.7193891583010558E-13</v>
      </c>
      <c r="P90" s="13">
        <f t="shared" si="87"/>
        <v>3.6362267729089988E-12</v>
      </c>
      <c r="Q90" s="20">
        <f t="shared" si="54"/>
        <v>6.8067219078872727E-12</v>
      </c>
      <c r="R90" s="59">
        <f t="shared" si="55"/>
        <v>293.33333333334014</v>
      </c>
      <c r="S90" s="59">
        <f ca="1">AVERAGE(OFFSET($R$3,0,0,'Données projet'!$E$9+1,1))-AVERAGE(OFFSET($H$3,0,0,'Données projet'!$E$9+1,1))</f>
        <v>252.28378247570731</v>
      </c>
      <c r="T90" s="59">
        <f t="shared" si="88"/>
        <v>263.50418595307343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9.4945852419485384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1.0631796625365148E-7</v>
      </c>
      <c r="AC90" s="22">
        <f t="shared" si="57"/>
        <v>9.4945853482665044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5.5</v>
      </c>
      <c r="AI90" s="13">
        <f>IF('Données projet'!$A$62&gt;35,AI89+AH90-AQ89,IF(A90&lt;'Données projet'!$A$62,$AF$205^A90,IF(A90='Données projet'!$A$62,'Données projet'!$B$62,AI89+AH90-AQ89)))</f>
        <v>279.49999999999977</v>
      </c>
      <c r="AJ90" s="13">
        <f>AI90*VLOOKUP('Données projet'!$B$10,Paramètres!$A$1:$I$89,3,0)*VLOOKUP('Données projet'!$B$10,Paramètres!$A$1:$I$89,5,0)</f>
        <v>235.45079999999984</v>
      </c>
      <c r="AK90" s="13">
        <f t="shared" si="89"/>
        <v>57.459660473176413</v>
      </c>
      <c r="AL90" s="20">
        <f t="shared" si="58"/>
        <v>510.1523853241153</v>
      </c>
      <c r="AM90" s="59">
        <f t="shared" si="59"/>
        <v>803.48571865744861</v>
      </c>
      <c r="AN90" s="59">
        <f ca="1">AVERAGE(OFFSET($AM$3,0,0,'Données projet'!$E$10+1,1))-AVERAGE(OFFSET($H$3,0,0,'Données projet'!$E$10+1,1))</f>
        <v>276.71735592065937</v>
      </c>
      <c r="AO90" s="59">
        <f t="shared" si="90"/>
        <v>159.98571289571038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20.093316795776168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20.093316795776168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2.7193891583010558E-13</v>
      </c>
      <c r="P91" s="13">
        <f t="shared" si="87"/>
        <v>3.6362267729089988E-12</v>
      </c>
      <c r="Q91" s="20">
        <f t="shared" si="54"/>
        <v>6.8067219078872727E-12</v>
      </c>
      <c r="R91" s="59">
        <f t="shared" si="55"/>
        <v>293.33333333334014</v>
      </c>
      <c r="S91" s="59">
        <f ca="1">AVERAGE(OFFSET($R$3,0,0,'Données projet'!$E$9+1,1))-AVERAGE(OFFSET($H$3,0,0,'Données projet'!$E$9+1,1))</f>
        <v>252.28378247570731</v>
      </c>
      <c r="T91" s="59">
        <f t="shared" si="88"/>
        <v>263.50418595307343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9.3084022164790987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7.5178154899919477E-8</v>
      </c>
      <c r="AC91" s="22">
        <f t="shared" si="57"/>
        <v>9.308402291657254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5.5</v>
      </c>
      <c r="AI91" s="13">
        <f>IF('Données projet'!$A$62&gt;35,AI90+AH91-AQ90,IF(A91&lt;'Données projet'!$A$62,$AF$205^A91,IF(A91='Données projet'!$A$62,'Données projet'!$B$62,AI90+AH91-AQ90)))</f>
        <v>284.99999999999977</v>
      </c>
      <c r="AJ91" s="13">
        <f>AI91*VLOOKUP('Données projet'!$B$10,Paramètres!$A$1:$I$89,3,0)*VLOOKUP('Données projet'!$B$10,Paramètres!$A$1:$I$89,5,0)</f>
        <v>240.08399999999983</v>
      </c>
      <c r="AK91" s="13">
        <f t="shared" si="89"/>
        <v>58.457603123312154</v>
      </c>
      <c r="AL91" s="20">
        <f t="shared" si="58"/>
        <v>519.95995877310168</v>
      </c>
      <c r="AM91" s="59">
        <f t="shared" si="59"/>
        <v>813.29329210643505</v>
      </c>
      <c r="AN91" s="59">
        <f ca="1">AVERAGE(OFFSET($AM$3,0,0,'Données projet'!$E$10+1,1))-AVERAGE(OFFSET($H$3,0,0,'Données projet'!$E$10+1,1))</f>
        <v>276.71735592065937</v>
      </c>
      <c r="AO91" s="59">
        <f t="shared" si="90"/>
        <v>159.98571289571038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19.699299109124091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19.699299109124091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2.7193891583010558E-13</v>
      </c>
      <c r="P92" s="13">
        <f t="shared" si="87"/>
        <v>3.6362267729089988E-12</v>
      </c>
      <c r="Q92" s="20">
        <f t="shared" si="54"/>
        <v>6.8067219078872727E-12</v>
      </c>
      <c r="R92" s="59">
        <f t="shared" si="55"/>
        <v>293.33333333334014</v>
      </c>
      <c r="S92" s="59">
        <f ca="1">AVERAGE(OFFSET($R$3,0,0,'Données projet'!$E$9+1,1))-AVERAGE(OFFSET($H$3,0,0,'Données projet'!$E$9+1,1))</f>
        <v>252.28378247570731</v>
      </c>
      <c r="T92" s="59">
        <f t="shared" si="88"/>
        <v>263.50418595307343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9.1258701265786826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5.3158983126825738E-8</v>
      </c>
      <c r="AC92" s="22">
        <f t="shared" si="57"/>
        <v>9.1258701797376656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5.5</v>
      </c>
      <c r="AI92" s="13">
        <f>IF('Données projet'!$A$62&gt;35,AI91+AH92-AQ91,IF(A92&lt;'Données projet'!$A$62,$AF$205^A92,IF(A92='Données projet'!$A$62,'Données projet'!$B$62,AI91+AH92-AQ91)))</f>
        <v>290.49999999999977</v>
      </c>
      <c r="AJ92" s="13">
        <f>AI92*VLOOKUP('Données projet'!$B$10,Paramètres!$A$1:$I$89,3,0)*VLOOKUP('Données projet'!$B$10,Paramètres!$A$1:$I$89,5,0)</f>
        <v>244.71719999999985</v>
      </c>
      <c r="AK92" s="13">
        <f t="shared" si="89"/>
        <v>59.453306448074976</v>
      </c>
      <c r="AL92" s="20">
        <f t="shared" si="58"/>
        <v>529.76363206373026</v>
      </c>
      <c r="AM92" s="59">
        <f t="shared" si="59"/>
        <v>823.09696539706351</v>
      </c>
      <c r="AN92" s="59">
        <f ca="1">AVERAGE(OFFSET($AM$3,0,0,'Données projet'!$E$10+1,1))-AVERAGE(OFFSET($H$3,0,0,'Données projet'!$E$10+1,1))</f>
        <v>276.71735592065937</v>
      </c>
      <c r="AO92" s="59">
        <f t="shared" si="90"/>
        <v>159.98571289571038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19.313007868980204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19.313007868980204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2.7193891583010558E-13</v>
      </c>
      <c r="P93" s="13">
        <f t="shared" si="87"/>
        <v>3.6362267729089988E-12</v>
      </c>
      <c r="Q93" s="20">
        <f t="shared" si="54"/>
        <v>6.8067219078872727E-12</v>
      </c>
      <c r="R93" s="59">
        <f t="shared" si="55"/>
        <v>293.33333333334014</v>
      </c>
      <c r="S93" s="59">
        <f ca="1">AVERAGE(OFFSET($R$3,0,0,'Données projet'!$E$9+1,1))-AVERAGE(OFFSET($H$3,0,0,'Données projet'!$E$9+1,1))</f>
        <v>252.28378247570731</v>
      </c>
      <c r="T93" s="59">
        <f t="shared" si="88"/>
        <v>263.50418595307343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8.9469173796276316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3.7589077449959738E-8</v>
      </c>
      <c r="AC93" s="22">
        <f t="shared" si="57"/>
        <v>8.9469174172167083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296</v>
      </c>
      <c r="AG93" s="12">
        <f>VLOOKUP(A93,'Données projet'!$A$61:$I$81,9,0)</f>
        <v>5.5</v>
      </c>
      <c r="AH93" s="12">
        <f t="array" ref="AH93">INDEX(AG:AG,MIN(IF(ISNUMBER(AG93:AG289),ROW(AG93:AG289),"")))</f>
        <v>5.5</v>
      </c>
      <c r="AI93" s="13">
        <f>IF('Données projet'!$A$62&gt;35,AI92+AH93-AQ92,IF(A93&lt;'Données projet'!$A$62,$AF$205^A93,IF(A93='Données projet'!$A$62,'Données projet'!$B$62,AI92+AH93-AQ92)))</f>
        <v>295.99999999999977</v>
      </c>
      <c r="AJ93" s="13">
        <f>AI93*VLOOKUP('Données projet'!$B$10,Paramètres!$A$1:$I$89,3,0)*VLOOKUP('Données projet'!$B$10,Paramètres!$A$1:$I$89,5,0)</f>
        <v>249.35039999999984</v>
      </c>
      <c r="AK93" s="13">
        <f t="shared" si="89"/>
        <v>60.446817732908109</v>
      </c>
      <c r="AL93" s="20">
        <f t="shared" si="58"/>
        <v>539.56348755148122</v>
      </c>
      <c r="AM93" s="59">
        <f t="shared" si="59"/>
        <v>832.89682088481459</v>
      </c>
      <c r="AN93" s="59">
        <f ca="1">AVERAGE(OFFSET($AM$3,0,0,'Données projet'!$E$10+1,1))-AVERAGE(OFFSET($H$3,0,0,'Données projet'!$E$10+1,1))</f>
        <v>276.71735592065937</v>
      </c>
      <c r="AO93" s="59">
        <f t="shared" si="90"/>
        <v>159.98571289571038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42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35.752634918238286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35.752634918238286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2.7193891583010558E-13</v>
      </c>
      <c r="P94" s="13">
        <f t="shared" si="87"/>
        <v>3.6362267729089988E-12</v>
      </c>
      <c r="Q94" s="20">
        <f t="shared" si="54"/>
        <v>6.8067219078872727E-12</v>
      </c>
      <c r="R94" s="59">
        <f t="shared" si="55"/>
        <v>293.33333333334014</v>
      </c>
      <c r="S94" s="59">
        <f ca="1">AVERAGE(OFFSET($R$3,0,0,'Données projet'!$E$9+1,1))-AVERAGE(OFFSET($H$3,0,0,'Données projet'!$E$9+1,1))</f>
        <v>252.28378247570731</v>
      </c>
      <c r="T94" s="59">
        <f t="shared" si="88"/>
        <v>263.50418595307343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8.7714737868938926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2.6579491563412869E-8</v>
      </c>
      <c r="AC94" s="22">
        <f t="shared" si="57"/>
        <v>8.771473813473385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4.5999999999999996</v>
      </c>
      <c r="AI94" s="13">
        <f>IF('Données projet'!$A$62&gt;35,AI93+AH94-AQ93,IF(A94&lt;'Données projet'!$A$62,$AF$205^A94,IF(A94='Données projet'!$A$62,'Données projet'!$B$62,AI93+AH94-AQ93)))</f>
        <v>258.5999999999998</v>
      </c>
      <c r="AJ94" s="13">
        <f>AI94*VLOOKUP('Données projet'!$B$10,Paramètres!$A$1:$I$89,3,0)*VLOOKUP('Données projet'!$B$10,Paramètres!$A$1:$I$89,5,0)</f>
        <v>217.84463999999983</v>
      </c>
      <c r="AK94" s="13">
        <f t="shared" si="89"/>
        <v>53.6461607851639</v>
      </c>
      <c r="AL94" s="20">
        <f t="shared" si="58"/>
        <v>472.84647803416016</v>
      </c>
      <c r="AM94" s="59">
        <f t="shared" si="59"/>
        <v>766.17981136749347</v>
      </c>
      <c r="AN94" s="59">
        <f ca="1">AVERAGE(OFFSET($AM$3,0,0,'Données projet'!$E$10+1,1))-AVERAGE(OFFSET($H$3,0,0,'Données projet'!$E$10+1,1))</f>
        <v>276.71735592065937</v>
      </c>
      <c r="AO94" s="59">
        <f t="shared" si="90"/>
        <v>159.98571289571038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35.051547554445676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35.051547554445676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2.7193891583010558E-13</v>
      </c>
      <c r="P95" s="13">
        <f t="shared" si="87"/>
        <v>3.6362267729089988E-12</v>
      </c>
      <c r="Q95" s="20">
        <f t="shared" si="54"/>
        <v>6.8067219078872727E-12</v>
      </c>
      <c r="R95" s="59">
        <f t="shared" si="55"/>
        <v>293.33333333334014</v>
      </c>
      <c r="S95" s="59">
        <f ca="1">AVERAGE(OFFSET($R$3,0,0,'Données projet'!$E$9+1,1))-AVERAGE(OFFSET($H$3,0,0,'Données projet'!$E$9+1,1))</f>
        <v>252.28378247570731</v>
      </c>
      <c r="T95" s="59">
        <f t="shared" si="88"/>
        <v>263.50418595307343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8.5994705360036381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1.8794538724979869E-8</v>
      </c>
      <c r="AC95" s="22">
        <f t="shared" si="57"/>
        <v>8.5994705547981773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4.5999999999999996</v>
      </c>
      <c r="AI95" s="13">
        <f>IF('Données projet'!$A$62&gt;35,AI94+AH95-AQ94,IF(A95&lt;'Données projet'!$A$62,$AF$205^A95,IF(A95='Données projet'!$A$62,'Données projet'!$B$62,AI94+AH95-AQ94)))</f>
        <v>263.19999999999982</v>
      </c>
      <c r="AJ95" s="13">
        <f>AI95*VLOOKUP('Données projet'!$B$10,Paramètres!$A$1:$I$89,3,0)*VLOOKUP('Données projet'!$B$10,Paramètres!$A$1:$I$89,5,0)</f>
        <v>221.71967999999984</v>
      </c>
      <c r="AK95" s="13">
        <f t="shared" si="89"/>
        <v>54.488480126819319</v>
      </c>
      <c r="AL95" s="20">
        <f t="shared" si="58"/>
        <v>481.06254555420998</v>
      </c>
      <c r="AM95" s="59">
        <f t="shared" si="59"/>
        <v>774.39587888754329</v>
      </c>
      <c r="AN95" s="59">
        <f ca="1">AVERAGE(OFFSET($AM$3,0,0,'Données projet'!$E$10+1,1))-AVERAGE(OFFSET($H$3,0,0,'Données projet'!$E$10+1,1))</f>
        <v>276.71735592065937</v>
      </c>
      <c r="AO95" s="59">
        <f t="shared" si="90"/>
        <v>159.98571289571038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34.364208086235969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34.364208086235969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2.7193891583010558E-13</v>
      </c>
      <c r="P96" s="13">
        <f t="shared" si="87"/>
        <v>3.6362267729089988E-12</v>
      </c>
      <c r="Q96" s="20">
        <f t="shared" si="54"/>
        <v>6.8067219078872727E-12</v>
      </c>
      <c r="R96" s="59">
        <f t="shared" si="55"/>
        <v>293.33333333334014</v>
      </c>
      <c r="S96" s="59">
        <f ca="1">AVERAGE(OFFSET($R$3,0,0,'Données projet'!$E$9+1,1))-AVERAGE(OFFSET($H$3,0,0,'Données projet'!$E$9+1,1))</f>
        <v>252.28378247570731</v>
      </c>
      <c r="T96" s="59">
        <f t="shared" si="88"/>
        <v>263.50418595307343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8.4308401639517179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1.3289745781706434E-8</v>
      </c>
      <c r="AC96" s="22">
        <f t="shared" si="57"/>
        <v>8.4308401772414641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4.5999999999999996</v>
      </c>
      <c r="AI96" s="13">
        <f>IF('Données projet'!$A$62&gt;35,AI95+AH96-AQ95,IF(A96&lt;'Données projet'!$A$62,$AF$205^A96,IF(A96='Données projet'!$A$62,'Données projet'!$B$62,AI95+AH96-AQ95)))</f>
        <v>267.79999999999984</v>
      </c>
      <c r="AJ96" s="13">
        <f>AI96*VLOOKUP('Données projet'!$B$10,Paramètres!$A$1:$I$89,3,0)*VLOOKUP('Données projet'!$B$10,Paramètres!$A$1:$I$89,5,0)</f>
        <v>225.59471999999985</v>
      </c>
      <c r="AK96" s="13">
        <f t="shared" si="89"/>
        <v>55.329087548744916</v>
      </c>
      <c r="AL96" s="20">
        <f t="shared" si="58"/>
        <v>489.27563148073045</v>
      </c>
      <c r="AM96" s="59">
        <f t="shared" si="59"/>
        <v>782.60896481406371</v>
      </c>
      <c r="AN96" s="59">
        <f ca="1">AVERAGE(OFFSET($AM$3,0,0,'Données projet'!$E$10+1,1))-AVERAGE(OFFSET($H$3,0,0,'Données projet'!$E$10+1,1))</f>
        <v>276.71735592065937</v>
      </c>
      <c r="AO96" s="59">
        <f t="shared" si="90"/>
        <v>159.98571289571038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33.690346925762178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33.690346925762178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2.7193891583010558E-13</v>
      </c>
      <c r="P97" s="13">
        <f t="shared" si="87"/>
        <v>3.6362267729089988E-12</v>
      </c>
      <c r="Q97" s="20">
        <f t="shared" si="54"/>
        <v>6.8067219078872727E-12</v>
      </c>
      <c r="R97" s="59">
        <f t="shared" si="55"/>
        <v>293.33333333334014</v>
      </c>
      <c r="S97" s="59">
        <f ca="1">AVERAGE(OFFSET($R$3,0,0,'Données projet'!$E$9+1,1))-AVERAGE(OFFSET($H$3,0,0,'Données projet'!$E$9+1,1))</f>
        <v>252.28378247570731</v>
      </c>
      <c r="T97" s="59">
        <f t="shared" si="88"/>
        <v>263.50418595307343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8.2655165306413636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9.3972693624899346E-9</v>
      </c>
      <c r="AC97" s="22">
        <f t="shared" si="57"/>
        <v>8.2655165400386323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4.5999999999999996</v>
      </c>
      <c r="AI97" s="13">
        <f>IF('Données projet'!$A$62&gt;35,AI96+AH97-AQ96,IF(A97&lt;'Données projet'!$A$62,$AF$205^A97,IF(A97='Données projet'!$A$62,'Données projet'!$B$62,AI96+AH97-AQ96)))</f>
        <v>272.39999999999986</v>
      </c>
      <c r="AJ97" s="13">
        <f>AI97*VLOOKUP('Données projet'!$B$10,Paramètres!$A$1:$I$89,3,0)*VLOOKUP('Données projet'!$B$10,Paramètres!$A$1:$I$89,5,0)</f>
        <v>229.46975999999992</v>
      </c>
      <c r="AK97" s="13">
        <f t="shared" si="89"/>
        <v>56.168015849852821</v>
      </c>
      <c r="AL97" s="20">
        <f t="shared" si="58"/>
        <v>497.4857929384936</v>
      </c>
      <c r="AM97" s="59">
        <f t="shared" si="59"/>
        <v>790.81912627182692</v>
      </c>
      <c r="AN97" s="59">
        <f ca="1">AVERAGE(OFFSET($AM$3,0,0,'Données projet'!$E$10+1,1))-AVERAGE(OFFSET($H$3,0,0,'Données projet'!$E$10+1,1))</f>
        <v>276.71735592065937</v>
      </c>
      <c r="AO97" s="59">
        <f t="shared" si="90"/>
        <v>159.98571289571038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33.029699771630554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33.029699771630554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2.7193891583010558E-13</v>
      </c>
      <c r="P98" s="13">
        <f t="shared" si="87"/>
        <v>3.6362267729089988E-12</v>
      </c>
      <c r="Q98" s="20">
        <f t="shared" si="54"/>
        <v>6.8067219078872727E-12</v>
      </c>
      <c r="R98" s="59">
        <f t="shared" si="55"/>
        <v>293.33333333334014</v>
      </c>
      <c r="S98" s="59">
        <f ca="1">AVERAGE(OFFSET($R$3,0,0,'Données projet'!$E$9+1,1))-AVERAGE(OFFSET($H$3,0,0,'Données projet'!$E$9+1,1))</f>
        <v>252.28378247570731</v>
      </c>
      <c r="T98" s="59">
        <f t="shared" si="88"/>
        <v>263.50418595307343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8.1034347929427675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6.6448728908532172E-9</v>
      </c>
      <c r="AC98" s="22">
        <f t="shared" si="57"/>
        <v>8.1034347995876406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4.5999999999999996</v>
      </c>
      <c r="AI98" s="13">
        <f>IF('Données projet'!$A$62&gt;35,AI97+AH98-AQ97,IF(A98&lt;'Données projet'!$A$62,$AF$205^A98,IF(A98='Données projet'!$A$62,'Données projet'!$B$62,AI97+AH98-AQ97)))</f>
        <v>276.99999999999989</v>
      </c>
      <c r="AJ98" s="13">
        <f>AI98*VLOOKUP('Données projet'!$B$10,Paramètres!$A$1:$I$89,3,0)*VLOOKUP('Données projet'!$B$10,Paramètres!$A$1:$I$89,5,0)</f>
        <v>233.34479999999994</v>
      </c>
      <c r="AK98" s="13">
        <f t="shared" si="89"/>
        <v>57.005296657823301</v>
      </c>
      <c r="AL98" s="20">
        <f t="shared" si="58"/>
        <v>505.69308501237543</v>
      </c>
      <c r="AM98" s="59">
        <f t="shared" si="59"/>
        <v>799.02641834570875</v>
      </c>
      <c r="AN98" s="59">
        <f ca="1">AVERAGE(OFFSET($AM$3,0,0,'Données projet'!$E$10+1,1))-AVERAGE(OFFSET($H$3,0,0,'Données projet'!$E$10+1,1))</f>
        <v>276.71735592065937</v>
      </c>
      <c r="AO98" s="59">
        <f t="shared" si="90"/>
        <v>159.98571289571038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32.382007505236473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32.382007505236473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2.7193891583010558E-13</v>
      </c>
      <c r="P99" s="13">
        <f t="shared" si="87"/>
        <v>3.6362267729089988E-12</v>
      </c>
      <c r="Q99" s="20">
        <f t="shared" ref="Q99:Q130" si="107">(O99+P99)*0.475*44/12</f>
        <v>6.8067219078872727E-12</v>
      </c>
      <c r="R99" s="59">
        <f t="shared" si="55"/>
        <v>293.33333333334014</v>
      </c>
      <c r="S99" s="59">
        <f ca="1">AVERAGE(OFFSET($R$3,0,0,'Données projet'!$E$9+1,1))-AVERAGE(OFFSET($H$3,0,0,'Données projet'!$E$9+1,1))</f>
        <v>252.28378247570731</v>
      </c>
      <c r="T99" s="59">
        <f t="shared" si="88"/>
        <v>263.50418595307343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7.9445313792603418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4.6986346812449673E-9</v>
      </c>
      <c r="AC99" s="22">
        <f t="shared" si="57"/>
        <v>7.9445313839589762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4.5999999999999996</v>
      </c>
      <c r="AI99" s="13">
        <f>IF('Données projet'!$A$62&gt;35,AI98+AH99-AQ98,IF(A99&lt;'Données projet'!$A$62,$AF$205^A99,IF(A99='Données projet'!$A$62,'Données projet'!$B$62,AI98+AH99-AQ98)))</f>
        <v>281.59999999999991</v>
      </c>
      <c r="AJ99" s="13">
        <f>AI99*VLOOKUP('Données projet'!$B$10,Paramètres!$A$1:$I$89,3,0)*VLOOKUP('Données projet'!$B$10,Paramètres!$A$1:$I$89,5,0)</f>
        <v>237.21983999999995</v>
      </c>
      <c r="AK99" s="13">
        <f t="shared" si="89"/>
        <v>57.840960489671517</v>
      </c>
      <c r="AL99" s="20">
        <f t="shared" si="58"/>
        <v>513.89756085284444</v>
      </c>
      <c r="AM99" s="59">
        <f t="shared" si="59"/>
        <v>807.23089418617769</v>
      </c>
      <c r="AN99" s="59">
        <f ca="1">AVERAGE(OFFSET($AM$3,0,0,'Données projet'!$E$10+1,1))-AVERAGE(OFFSET($H$3,0,0,'Données projet'!$E$10+1,1))</f>
        <v>276.71735592065937</v>
      </c>
      <c r="AO99" s="59">
        <f t="shared" si="90"/>
        <v>159.98571289571038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31.747016089133108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31.747016089133108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2.7193891583010558E-13</v>
      </c>
      <c r="P100" s="13">
        <f t="shared" si="87"/>
        <v>3.6362267729089988E-12</v>
      </c>
      <c r="Q100" s="20">
        <f t="shared" si="107"/>
        <v>6.8067219078872727E-12</v>
      </c>
      <c r="R100" s="59">
        <f t="shared" si="55"/>
        <v>293.33333333334014</v>
      </c>
      <c r="S100" s="59">
        <f ca="1">AVERAGE(OFFSET($R$3,0,0,'Données projet'!$E$9+1,1))-AVERAGE(OFFSET($H$3,0,0,'Données projet'!$E$9+1,1))</f>
        <v>252.28378247570731</v>
      </c>
      <c r="T100" s="59">
        <f t="shared" si="88"/>
        <v>263.50418595307343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7.7887439645987158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3.3224364454266086E-9</v>
      </c>
      <c r="AC100" s="22">
        <f t="shared" si="57"/>
        <v>7.7887439679211523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4.5999999999999996</v>
      </c>
      <c r="AI100" s="13">
        <f>IF('Données projet'!$A$62&gt;35,AI99+AH100-AQ99,IF(A100&lt;'Données projet'!$A$62,$AF$205^A100,IF(A100='Données projet'!$A$62,'Données projet'!$B$62,AI99+AH100-AQ99)))</f>
        <v>286.19999999999993</v>
      </c>
      <c r="AJ100" s="13">
        <f>AI100*VLOOKUP('Données projet'!$B$10,Paramètres!$A$1:$I$89,3,0)*VLOOKUP('Données projet'!$B$10,Paramètres!$A$1:$I$89,5,0)</f>
        <v>241.09487999999996</v>
      </c>
      <c r="AK100" s="13">
        <f t="shared" si="89"/>
        <v>58.675036808244357</v>
      </c>
      <c r="AL100" s="20">
        <f t="shared" si="58"/>
        <v>522.09927177435884</v>
      </c>
      <c r="AM100" s="59">
        <f t="shared" si="59"/>
        <v>815.4326051076921</v>
      </c>
      <c r="AN100" s="59">
        <f ca="1">AVERAGE(OFFSET($AM$3,0,0,'Données projet'!$E$10+1,1))-AVERAGE(OFFSET($H$3,0,0,'Données projet'!$E$10+1,1))</f>
        <v>276.71735592065937</v>
      </c>
      <c r="AO100" s="59">
        <f t="shared" si="90"/>
        <v>159.98571289571038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31.124476467393009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31.124476467393009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2.7193891583010558E-13</v>
      </c>
      <c r="P101" s="13">
        <f t="shared" si="87"/>
        <v>3.6362267729089988E-12</v>
      </c>
      <c r="Q101" s="20">
        <f t="shared" si="107"/>
        <v>6.8067219078872727E-12</v>
      </c>
      <c r="R101" s="59">
        <f t="shared" si="55"/>
        <v>293.33333333334014</v>
      </c>
      <c r="S101" s="59">
        <f ca="1">AVERAGE(OFFSET($R$3,0,0,'Données projet'!$E$9+1,1))-AVERAGE(OFFSET($H$3,0,0,'Données projet'!$E$9+1,1))</f>
        <v>252.28378247570731</v>
      </c>
      <c r="T101" s="59">
        <f t="shared" si="88"/>
        <v>263.50418595307343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7.6360114461176645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2.3493173406224837E-9</v>
      </c>
      <c r="AC101" s="22">
        <f t="shared" si="57"/>
        <v>7.6360114484669817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4.5999999999999996</v>
      </c>
      <c r="AI101" s="13">
        <f>IF('Données projet'!$A$62&gt;35,AI100+AH101-AQ100,IF(A101&lt;'Données projet'!$A$62,$AF$205^A101,IF(A101='Données projet'!$A$62,'Données projet'!$B$62,AI100+AH101-AQ100)))</f>
        <v>290.79999999999995</v>
      </c>
      <c r="AJ101" s="13">
        <f>AI101*VLOOKUP('Données projet'!$B$10,Paramètres!$A$1:$I$89,3,0)*VLOOKUP('Données projet'!$B$10,Paramètres!$A$1:$I$89,5,0)</f>
        <v>244.96991999999997</v>
      </c>
      <c r="AK101" s="13">
        <f t="shared" si="89"/>
        <v>59.507554074982423</v>
      </c>
      <c r="AL101" s="20">
        <f t="shared" si="58"/>
        <v>530.298267347261</v>
      </c>
      <c r="AM101" s="59">
        <f t="shared" si="59"/>
        <v>823.63160068059437</v>
      </c>
      <c r="AN101" s="59">
        <f ca="1">AVERAGE(OFFSET($AM$3,0,0,'Données projet'!$E$10+1,1))-AVERAGE(OFFSET($H$3,0,0,'Données projet'!$E$10+1,1))</f>
        <v>276.71735592065937</v>
      </c>
      <c r="AO101" s="59">
        <f t="shared" si="90"/>
        <v>159.98571289571038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30.514144467923558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30.514144467923558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2.7193891583010558E-13</v>
      </c>
      <c r="P102" s="13">
        <f t="shared" si="87"/>
        <v>3.6362267729089988E-12</v>
      </c>
      <c r="Q102" s="20">
        <f t="shared" si="107"/>
        <v>6.8067219078872727E-12</v>
      </c>
      <c r="R102" s="59">
        <f t="shared" si="55"/>
        <v>293.33333333334014</v>
      </c>
      <c r="S102" s="59">
        <f ca="1">AVERAGE(OFFSET($R$3,0,0,'Données projet'!$E$9+1,1))-AVERAGE(OFFSET($H$3,0,0,'Données projet'!$E$9+1,1))</f>
        <v>252.28378247570731</v>
      </c>
      <c r="T102" s="59">
        <f t="shared" si="88"/>
        <v>263.50418595307343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7.486273919166389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1.6612182227133043E-9</v>
      </c>
      <c r="AC102" s="22">
        <f t="shared" si="57"/>
        <v>7.4862739208276068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4.5999999999999996</v>
      </c>
      <c r="AI102" s="13">
        <f>IF('Données projet'!$A$62&gt;35,AI101+AH102-AQ101,IF(A102&lt;'Données projet'!$A$62,$AF$205^A102,IF(A102='Données projet'!$A$62,'Données projet'!$B$62,AI101+AH102-AQ101)))</f>
        <v>295.39999999999998</v>
      </c>
      <c r="AJ102" s="13">
        <f>AI102*VLOOKUP('Données projet'!$B$10,Paramètres!$A$1:$I$89,3,0)*VLOOKUP('Données projet'!$B$10,Paramètres!$A$1:$I$89,5,0)</f>
        <v>248.84495999999999</v>
      </c>
      <c r="AK102" s="13">
        <f t="shared" si="89"/>
        <v>60.338539799248558</v>
      </c>
      <c r="AL102" s="20">
        <f t="shared" si="58"/>
        <v>538.49459548369111</v>
      </c>
      <c r="AM102" s="59">
        <f t="shared" si="59"/>
        <v>831.82792881702449</v>
      </c>
      <c r="AN102" s="59">
        <f ca="1">AVERAGE(OFFSET($AM$3,0,0,'Données projet'!$E$10+1,1))-AVERAGE(OFFSET($H$3,0,0,'Données projet'!$E$10+1,1))</f>
        <v>276.71735592065937</v>
      </c>
      <c r="AO102" s="59">
        <f t="shared" si="90"/>
        <v>159.98571289571038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29.915780706697941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29.915780706697941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2.7193891583010558E-13</v>
      </c>
      <c r="P103" s="13">
        <f t="shared" si="87"/>
        <v>3.6362267729089988E-12</v>
      </c>
      <c r="Q103" s="20">
        <f t="shared" si="107"/>
        <v>6.8067219078872727E-12</v>
      </c>
      <c r="R103" s="59">
        <f t="shared" si="55"/>
        <v>293.33333333334014</v>
      </c>
      <c r="S103" s="59">
        <f ca="1">AVERAGE(OFFSET($R$3,0,0,'Données projet'!$E$9+1,1))-AVERAGE(OFFSET($H$3,0,0,'Données projet'!$E$9+1,1))</f>
        <v>252.28378247570731</v>
      </c>
      <c r="T103" s="59">
        <f t="shared" si="88"/>
        <v>263.50418595307343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7.3394726537877544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1.1746586703112418E-9</v>
      </c>
      <c r="AC103" s="22">
        <f t="shared" si="57"/>
        <v>7.339472654962413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300</v>
      </c>
      <c r="AG103" s="12">
        <f>VLOOKUP(A103,'Données projet'!$A$61:$I$81,9,0)</f>
        <v>4.5999999999999996</v>
      </c>
      <c r="AH103" s="12">
        <f t="array" ref="AH103">INDEX(AG:AG,MIN(IF(ISNUMBER(AG103:AG299),ROW(AG103:AG299),"")))</f>
        <v>4.5999999999999996</v>
      </c>
      <c r="AI103" s="13">
        <f>IF('Données projet'!$A$62&gt;35,AI102+AH103-AQ102,IF(A103&lt;'Données projet'!$A$62,$AF$205^A103,IF(A103='Données projet'!$A$62,'Données projet'!$B$62,AI102+AH103-AQ102)))</f>
        <v>300</v>
      </c>
      <c r="AJ103" s="13">
        <f>AI103*VLOOKUP('Données projet'!$B$10,Paramètres!$A$1:$I$89,3,0)*VLOOKUP('Données projet'!$B$10,Paramètres!$A$1:$I$89,5,0)</f>
        <v>252.72</v>
      </c>
      <c r="AK103" s="13">
        <f t="shared" si="89"/>
        <v>61.168020584496823</v>
      </c>
      <c r="AL103" s="20">
        <f t="shared" si="58"/>
        <v>546.68830251799852</v>
      </c>
      <c r="AM103" s="59">
        <f t="shared" si="59"/>
        <v>840.02163585133189</v>
      </c>
      <c r="AN103" s="59">
        <f ca="1">AVERAGE(OFFSET($AM$3,0,0,'Données projet'!$E$10+1,1))-AVERAGE(OFFSET($H$3,0,0,'Données projet'!$E$10+1,1))</f>
        <v>276.71735592065937</v>
      </c>
      <c r="AO103" s="59">
        <f t="shared" si="90"/>
        <v>159.98571289571038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42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29.329150493864102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29.329150493864102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2.7193891583010558E-13</v>
      </c>
      <c r="P104" s="13">
        <f t="shared" si="87"/>
        <v>3.6362267729089988E-12</v>
      </c>
      <c r="Q104" s="20">
        <f t="shared" si="107"/>
        <v>6.8067219078872727E-12</v>
      </c>
      <c r="R104" s="59">
        <f t="shared" si="55"/>
        <v>293.33333333334014</v>
      </c>
      <c r="S104" s="59">
        <f ca="1">AVERAGE(OFFSET($R$3,0,0,'Données projet'!$E$9+1,1))-AVERAGE(OFFSET($H$3,0,0,'Données projet'!$E$9+1,1))</f>
        <v>252.28378247570731</v>
      </c>
      <c r="T104" s="59">
        <f t="shared" si="88"/>
        <v>263.50418595307343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7.1955500716832645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8.3060911135665215E-10</v>
      </c>
      <c r="AC104" s="22">
        <f t="shared" si="57"/>
        <v>7.1955500725138739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4.5999999999999996</v>
      </c>
      <c r="AI104" s="13">
        <f>IF('Données projet'!$A$62&gt;35,AI103+AH104-AQ103,IF(A104&lt;'Données projet'!$A$62,$AF$205^A104,IF(A104='Données projet'!$A$62,'Données projet'!$B$62,AI103+AH104-AQ103)))</f>
        <v>262.60000000000002</v>
      </c>
      <c r="AJ104" s="13">
        <f>AI104*VLOOKUP('Données projet'!$B$10,Paramètres!$A$1:$I$89,3,0)*VLOOKUP('Données projet'!$B$10,Paramètres!$A$1:$I$89,5,0)</f>
        <v>221.21424000000005</v>
      </c>
      <c r="AK104" s="13">
        <f t="shared" si="89"/>
        <v>54.378710185570377</v>
      </c>
      <c r="AL104" s="20">
        <f t="shared" si="58"/>
        <v>479.99105490653511</v>
      </c>
      <c r="AM104" s="59">
        <f t="shared" si="59"/>
        <v>773.32438823986843</v>
      </c>
      <c r="AN104" s="59">
        <f ca="1">AVERAGE(OFFSET($AM$3,0,0,'Données projet'!$E$10+1,1))-AVERAGE(OFFSET($H$3,0,0,'Données projet'!$E$10+1,1))</f>
        <v>276.71735592065937</v>
      </c>
      <c r="AO104" s="59">
        <f t="shared" si="90"/>
        <v>159.98571289571038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28.754023741694834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28.754023741694834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2.7193891583010558E-13</v>
      </c>
      <c r="P105" s="13">
        <f t="shared" si="87"/>
        <v>3.6362267729089988E-12</v>
      </c>
      <c r="Q105" s="20">
        <f t="shared" si="107"/>
        <v>6.8067219078872727E-12</v>
      </c>
      <c r="R105" s="59">
        <f t="shared" si="55"/>
        <v>293.33333333334014</v>
      </c>
      <c r="S105" s="59">
        <f ca="1">AVERAGE(OFFSET($R$3,0,0,'Données projet'!$E$9+1,1))-AVERAGE(OFFSET($H$3,0,0,'Données projet'!$E$9+1,1))</f>
        <v>252.28378247570731</v>
      </c>
      <c r="T105" s="59">
        <f t="shared" si="88"/>
        <v>263.50418595307343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7.0544497236297365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5.8732933515562091E-10</v>
      </c>
      <c r="AC105" s="22">
        <f t="shared" si="57"/>
        <v>7.0544497242170658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4.5999999999999996</v>
      </c>
      <c r="AI105" s="13">
        <f>IF('Données projet'!$A$62&gt;35,AI104+AH105-AQ104,IF(A105&lt;'Données projet'!$A$62,$AF$205^A105,IF(A105='Données projet'!$A$62,'Données projet'!$B$62,AI104+AH105-AQ104)))</f>
        <v>267.20000000000005</v>
      </c>
      <c r="AJ105" s="13">
        <f>AI105*VLOOKUP('Données projet'!$B$10,Paramètres!$A$1:$I$89,3,0)*VLOOKUP('Données projet'!$B$10,Paramètres!$A$1:$I$89,5,0)</f>
        <v>225.08928000000006</v>
      </c>
      <c r="AK105" s="13">
        <f t="shared" si="89"/>
        <v>55.219539015573574</v>
      </c>
      <c r="AL105" s="20">
        <f t="shared" si="58"/>
        <v>488.20452645212413</v>
      </c>
      <c r="AM105" s="59">
        <f t="shared" si="59"/>
        <v>781.53785978545739</v>
      </c>
      <c r="AN105" s="59">
        <f ca="1">AVERAGE(OFFSET($AM$3,0,0,'Données projet'!$E$10+1,1))-AVERAGE(OFFSET($H$3,0,0,'Données projet'!$E$10+1,1))</f>
        <v>276.71735592065937</v>
      </c>
      <c r="AO105" s="59">
        <f t="shared" si="90"/>
        <v>159.98571289571038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28.190174874342926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28.190174874342926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2.7193891583010558E-13</v>
      </c>
      <c r="P106" s="13">
        <f t="shared" si="87"/>
        <v>3.6362267729089988E-12</v>
      </c>
      <c r="Q106" s="20">
        <f t="shared" si="107"/>
        <v>6.8067219078872727E-12</v>
      </c>
      <c r="R106" s="59">
        <f t="shared" si="55"/>
        <v>293.33333333334014</v>
      </c>
      <c r="S106" s="59">
        <f ca="1">AVERAGE(OFFSET($R$3,0,0,'Données projet'!$E$9+1,1))-AVERAGE(OFFSET($H$3,0,0,'Données projet'!$E$9+1,1))</f>
        <v>252.28378247570731</v>
      </c>
      <c r="T106" s="59">
        <f t="shared" si="88"/>
        <v>263.50418595307343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6.9161162673388237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4.1530455567832608E-10</v>
      </c>
      <c r="AC106" s="22">
        <f t="shared" si="57"/>
        <v>6.9161162677541279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4.5999999999999996</v>
      </c>
      <c r="AI106" s="13">
        <f>IF('Données projet'!$A$62&gt;35,AI105+AH106-AQ105,IF(A106&lt;'Données projet'!$A$62,$AF$205^A106,IF(A106='Données projet'!$A$62,'Données projet'!$B$62,AI105+AH106-AQ105)))</f>
        <v>271.80000000000007</v>
      </c>
      <c r="AJ106" s="13">
        <f>AI106*VLOOKUP('Données projet'!$B$10,Paramètres!$A$1:$I$89,3,0)*VLOOKUP('Données projet'!$B$10,Paramètres!$A$1:$I$89,5,0)</f>
        <v>228.96432000000007</v>
      </c>
      <c r="AK106" s="13">
        <f t="shared" si="89"/>
        <v>56.05868451440471</v>
      </c>
      <c r="AL106" s="20">
        <f t="shared" si="58"/>
        <v>496.41506619592155</v>
      </c>
      <c r="AM106" s="59">
        <f t="shared" si="59"/>
        <v>789.74839952925481</v>
      </c>
      <c r="AN106" s="59">
        <f ca="1">AVERAGE(OFFSET($AM$3,0,0,'Données projet'!$E$10+1,1))-AVERAGE(OFFSET($H$3,0,0,'Données projet'!$E$10+1,1))</f>
        <v>276.71735592065937</v>
      </c>
      <c r="AO106" s="59">
        <f t="shared" si="90"/>
        <v>159.98571289571038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27.637382739365936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27.637382739365936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2.7193891583010558E-13</v>
      </c>
      <c r="P107" s="13">
        <f t="shared" si="87"/>
        <v>3.6362267729089988E-12</v>
      </c>
      <c r="Q107" s="20">
        <f t="shared" si="107"/>
        <v>6.8067219078872727E-12</v>
      </c>
      <c r="R107" s="59">
        <f t="shared" si="55"/>
        <v>293.33333333334014</v>
      </c>
      <c r="S107" s="59">
        <f ca="1">AVERAGE(OFFSET($R$3,0,0,'Données projet'!$E$9+1,1))-AVERAGE(OFFSET($H$3,0,0,'Données projet'!$E$9+1,1))</f>
        <v>252.28378247570731</v>
      </c>
      <c r="T107" s="59">
        <f t="shared" si="88"/>
        <v>263.50418595307343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6.7804954457506987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2.9366466757781046E-10</v>
      </c>
      <c r="AC107" s="22">
        <f t="shared" si="57"/>
        <v>6.7804954460443634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4.5999999999999996</v>
      </c>
      <c r="AI107" s="13">
        <f>IF('Données projet'!$A$62&gt;35,AI106+AH107-AQ106,IF(A107&lt;'Données projet'!$A$62,$AF$205^A107,IF(A107='Données projet'!$A$62,'Données projet'!$B$62,AI106+AH107-AQ106)))</f>
        <v>276.40000000000009</v>
      </c>
      <c r="AJ107" s="13">
        <f>AI107*VLOOKUP('Données projet'!$B$10,Paramètres!$A$1:$I$89,3,0)*VLOOKUP('Données projet'!$B$10,Paramètres!$A$1:$I$89,5,0)</f>
        <v>232.83936000000008</v>
      </c>
      <c r="AK107" s="13">
        <f t="shared" si="89"/>
        <v>56.896178458987599</v>
      </c>
      <c r="AL107" s="20">
        <f t="shared" si="58"/>
        <v>504.62272948273682</v>
      </c>
      <c r="AM107" s="59">
        <f t="shared" si="59"/>
        <v>797.95606281607013</v>
      </c>
      <c r="AN107" s="59">
        <f ca="1">AVERAGE(OFFSET($AM$3,0,0,'Données projet'!$E$10+1,1))-AVERAGE(OFFSET($H$3,0,0,'Données projet'!$E$10+1,1))</f>
        <v>276.71735592065937</v>
      </c>
      <c r="AO107" s="59">
        <f t="shared" si="90"/>
        <v>159.98571289571038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27.095430520985936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27.095430520985936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2.7193891583010558E-13</v>
      </c>
      <c r="P108" s="13">
        <f t="shared" si="87"/>
        <v>3.6362267729089988E-12</v>
      </c>
      <c r="Q108" s="20">
        <f t="shared" si="107"/>
        <v>6.8067219078872727E-12</v>
      </c>
      <c r="R108" s="59">
        <f t="shared" si="55"/>
        <v>293.33333333334014</v>
      </c>
      <c r="S108" s="59">
        <f ca="1">AVERAGE(OFFSET($R$3,0,0,'Données projet'!$E$9+1,1))-AVERAGE(OFFSET($H$3,0,0,'Données projet'!$E$9+1,1))</f>
        <v>252.28378247570731</v>
      </c>
      <c r="T108" s="59">
        <f t="shared" si="88"/>
        <v>263.50418595307343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6.6475340657533835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2.0765227783916304E-10</v>
      </c>
      <c r="AC108" s="22">
        <f t="shared" si="57"/>
        <v>6.647534065961036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4.5999999999999996</v>
      </c>
      <c r="AI108" s="13">
        <f>IF('Données projet'!$A$62&gt;35,AI107+AH108-AQ107,IF(A108&lt;'Données projet'!$A$62,$AF$205^A108,IF(A108='Données projet'!$A$62,'Données projet'!$B$62,AI107+AH108-AQ107)))</f>
        <v>281.00000000000011</v>
      </c>
      <c r="AJ108" s="13">
        <f>AI108*VLOOKUP('Données projet'!$B$10,Paramètres!$A$1:$I$89,3,0)*VLOOKUP('Données projet'!$B$10,Paramètres!$A$1:$I$89,5,0)</f>
        <v>236.7144000000001</v>
      </c>
      <c r="AK108" s="13">
        <f t="shared" si="89"/>
        <v>57.732051507919344</v>
      </c>
      <c r="AL108" s="20">
        <f t="shared" si="58"/>
        <v>512.82756970962635</v>
      </c>
      <c r="AM108" s="59">
        <f t="shared" si="59"/>
        <v>806.16090304295972</v>
      </c>
      <c r="AN108" s="59">
        <f ca="1">AVERAGE(OFFSET($AM$3,0,0,'Données projet'!$E$10+1,1))-AVERAGE(OFFSET($H$3,0,0,'Données projet'!$E$10+1,1))</f>
        <v>276.71735592065937</v>
      </c>
      <c r="AO108" s="59">
        <f t="shared" si="90"/>
        <v>159.98571289571038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26.564105655050156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26.564105655050156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2.7193891583010558E-13</v>
      </c>
      <c r="P109" s="13">
        <f t="shared" si="87"/>
        <v>3.6362267729089988E-12</v>
      </c>
      <c r="Q109" s="20">
        <f t="shared" si="107"/>
        <v>6.8067219078872727E-12</v>
      </c>
      <c r="R109" s="59">
        <f t="shared" si="55"/>
        <v>293.33333333334014</v>
      </c>
      <c r="S109" s="59">
        <f ca="1">AVERAGE(OFFSET($R$3,0,0,'Données projet'!$E$9+1,1))-AVERAGE(OFFSET($H$3,0,0,'Données projet'!$E$9+1,1))</f>
        <v>252.28378247570731</v>
      </c>
      <c r="T109" s="59">
        <f t="shared" si="88"/>
        <v>263.50418595307343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6.5171799773193815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1.4683233378890523E-10</v>
      </c>
      <c r="AC109" s="22">
        <f t="shared" si="57"/>
        <v>6.5171799774662142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4.5999999999999996</v>
      </c>
      <c r="AI109" s="13">
        <f>IF('Données projet'!$A$62&gt;35,AI108+AH109-AQ108,IF(A109&lt;'Données projet'!$A$62,$AF$205^A109,IF(A109='Données projet'!$A$62,'Données projet'!$B$62,AI108+AH109-AQ108)))</f>
        <v>285.60000000000014</v>
      </c>
      <c r="AJ109" s="13">
        <f>AI109*VLOOKUP('Données projet'!$B$10,Paramètres!$A$1:$I$89,3,0)*VLOOKUP('Données projet'!$B$10,Paramètres!$A$1:$I$89,5,0)</f>
        <v>240.58944000000014</v>
      </c>
      <c r="AK109" s="13">
        <f t="shared" si="89"/>
        <v>58.56633325847816</v>
      </c>
      <c r="AL109" s="20">
        <f t="shared" si="58"/>
        <v>521.02963842518295</v>
      </c>
      <c r="AM109" s="59">
        <f t="shared" si="59"/>
        <v>814.36297175851632</v>
      </c>
      <c r="AN109" s="59">
        <f ca="1">AVERAGE(OFFSET($AM$3,0,0,'Données projet'!$E$10+1,1))-AVERAGE(OFFSET($H$3,0,0,'Données projet'!$E$10+1,1))</f>
        <v>276.71735592065937</v>
      </c>
      <c r="AO109" s="59">
        <f t="shared" si="90"/>
        <v>159.98571289571038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26.043199745659209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26.043199745659209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2.7193891583010558E-13</v>
      </c>
      <c r="P110" s="13">
        <f t="shared" si="87"/>
        <v>3.6362267729089988E-12</v>
      </c>
      <c r="Q110" s="20">
        <f t="shared" si="107"/>
        <v>6.8067219078872727E-12</v>
      </c>
      <c r="R110" s="59">
        <f t="shared" si="55"/>
        <v>293.33333333334014</v>
      </c>
      <c r="S110" s="59">
        <f ca="1">AVERAGE(OFFSET($R$3,0,0,'Données projet'!$E$9+1,1))-AVERAGE(OFFSET($H$3,0,0,'Données projet'!$E$9+1,1))</f>
        <v>252.28378247570731</v>
      </c>
      <c r="T110" s="59">
        <f t="shared" si="88"/>
        <v>263.50418595307343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6.3893820530514276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1.0382613891958152E-10</v>
      </c>
      <c r="AC110" s="22">
        <f t="shared" si="57"/>
        <v>6.3893820531552539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4.5999999999999996</v>
      </c>
      <c r="AI110" s="13">
        <f>IF('Données projet'!$A$62&gt;35,AI109+AH110-AQ109,IF(A110&lt;'Données projet'!$A$62,$AF$205^A110,IF(A110='Données projet'!$A$62,'Données projet'!$B$62,AI109+AH110-AQ109)))</f>
        <v>290.20000000000016</v>
      </c>
      <c r="AJ110" s="13">
        <f>AI110*VLOOKUP('Données projet'!$B$10,Paramètres!$A$1:$I$89,3,0)*VLOOKUP('Données projet'!$B$10,Paramètres!$A$1:$I$89,5,0)</f>
        <v>244.46448000000015</v>
      </c>
      <c r="AK110" s="13">
        <f t="shared" si="89"/>
        <v>59.399052299854922</v>
      </c>
      <c r="AL110" s="20">
        <f t="shared" si="58"/>
        <v>529.22898542224755</v>
      </c>
      <c r="AM110" s="59">
        <f t="shared" si="59"/>
        <v>822.56231875558092</v>
      </c>
      <c r="AN110" s="59">
        <f ca="1">AVERAGE(OFFSET($AM$3,0,0,'Données projet'!$E$10+1,1))-AVERAGE(OFFSET($H$3,0,0,'Données projet'!$E$10+1,1))</f>
        <v>276.71735592065937</v>
      </c>
      <c r="AO110" s="59">
        <f t="shared" si="90"/>
        <v>159.98571289571038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25.532508483430185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25.532508483430185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2.7193891583010558E-13</v>
      </c>
      <c r="P111" s="13">
        <f t="shared" si="87"/>
        <v>3.6362267729089988E-12</v>
      </c>
      <c r="Q111" s="20">
        <f t="shared" si="107"/>
        <v>6.8067219078872727E-12</v>
      </c>
      <c r="R111" s="59">
        <f t="shared" si="55"/>
        <v>293.33333333334014</v>
      </c>
      <c r="S111" s="59">
        <f ca="1">AVERAGE(OFFSET($R$3,0,0,'Données projet'!$E$9+1,1))-AVERAGE(OFFSET($H$3,0,0,'Données projet'!$E$9+1,1))</f>
        <v>252.28378247570731</v>
      </c>
      <c r="T111" s="59">
        <f t="shared" si="88"/>
        <v>263.50418595307343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6.2640901681293313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7.3416166894452614E-11</v>
      </c>
      <c r="AC111" s="22">
        <f t="shared" si="57"/>
        <v>6.2640901682027472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4.5999999999999996</v>
      </c>
      <c r="AI111" s="13">
        <f>IF('Données projet'!$A$62&gt;35,AI110+AH111-AQ110,IF(A111&lt;'Données projet'!$A$62,$AF$205^A111,IF(A111='Données projet'!$A$62,'Données projet'!$B$62,AI110+AH111-AQ110)))</f>
        <v>294.80000000000018</v>
      </c>
      <c r="AJ111" s="13">
        <f>AI111*VLOOKUP('Données projet'!$B$10,Paramètres!$A$1:$I$89,3,0)*VLOOKUP('Données projet'!$B$10,Paramètres!$A$1:$I$89,5,0)</f>
        <v>248.33952000000019</v>
      </c>
      <c r="AK111" s="13">
        <f t="shared" si="89"/>
        <v>60.230236262913301</v>
      </c>
      <c r="AL111" s="20">
        <f t="shared" si="58"/>
        <v>537.42565882457427</v>
      </c>
      <c r="AM111" s="59">
        <f t="shared" si="59"/>
        <v>830.75899215790764</v>
      </c>
      <c r="AN111" s="59">
        <f ca="1">AVERAGE(OFFSET($AM$3,0,0,'Données projet'!$E$10+1,1))-AVERAGE(OFFSET($H$3,0,0,'Données projet'!$E$10+1,1))</f>
        <v>276.71735592065937</v>
      </c>
      <c r="AO111" s="59">
        <f t="shared" si="90"/>
        <v>159.98571289571038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25.031831565362559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25.031831565362559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2.7193891583010558E-13</v>
      </c>
      <c r="P112" s="13">
        <f t="shared" si="87"/>
        <v>3.6362267729089988E-12</v>
      </c>
      <c r="Q112" s="20">
        <f t="shared" si="107"/>
        <v>6.8067219078872727E-12</v>
      </c>
      <c r="R112" s="59">
        <f t="shared" si="55"/>
        <v>293.33333333334014</v>
      </c>
      <c r="S112" s="59">
        <f ca="1">AVERAGE(OFFSET($R$3,0,0,'Données projet'!$E$9+1,1))-AVERAGE(OFFSET($H$3,0,0,'Données projet'!$E$9+1,1))</f>
        <v>252.28378247570731</v>
      </c>
      <c r="T112" s="59">
        <f t="shared" si="88"/>
        <v>263.50418595307343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6.1412551806500533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5.191306945979076E-11</v>
      </c>
      <c r="AC112" s="22">
        <f t="shared" si="57"/>
        <v>6.1412551807019664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4.5999999999999996</v>
      </c>
      <c r="AI112" s="13">
        <f>IF('Données projet'!$A$62&gt;35,AI111+AH112-AQ111,IF(A112&lt;'Données projet'!$A$62,$AF$205^A112,IF(A112='Données projet'!$A$62,'Données projet'!$B$62,AI111+AH112-AQ111)))</f>
        <v>299.4000000000002</v>
      </c>
      <c r="AJ112" s="13">
        <f>AI112*VLOOKUP('Données projet'!$B$10,Paramètres!$A$1:$I$89,3,0)*VLOOKUP('Données projet'!$B$10,Paramètres!$A$1:$I$89,5,0)</f>
        <v>252.2145600000002</v>
      </c>
      <c r="AK112" s="13">
        <f t="shared" si="89"/>
        <v>61.059911866756309</v>
      </c>
      <c r="AL112" s="20">
        <f t="shared" si="58"/>
        <v>545.61970516793428</v>
      </c>
      <c r="AM112" s="59">
        <f t="shared" si="59"/>
        <v>838.95303850126766</v>
      </c>
      <c r="AN112" s="59">
        <f ca="1">AVERAGE(OFFSET($AM$3,0,0,'Données projet'!$E$10+1,1))-AVERAGE(OFFSET($H$3,0,0,'Données projet'!$E$10+1,1))</f>
        <v>276.71735592065937</v>
      </c>
      <c r="AO112" s="59">
        <f t="shared" si="90"/>
        <v>159.98571289571038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24.540972616275472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24.540972616275472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2.7193891583010558E-13</v>
      </c>
      <c r="P113" s="13">
        <f t="shared" si="87"/>
        <v>3.6362267729089988E-12</v>
      </c>
      <c r="Q113" s="20">
        <f t="shared" si="107"/>
        <v>6.8067219078872727E-12</v>
      </c>
      <c r="R113" s="59">
        <f t="shared" si="55"/>
        <v>293.33333333334014</v>
      </c>
      <c r="S113" s="59">
        <f ca="1">AVERAGE(OFFSET($R$3,0,0,'Données projet'!$E$9+1,1))-AVERAGE(OFFSET($H$3,0,0,'Données projet'!$E$9+1,1))</f>
        <v>252.28378247570731</v>
      </c>
      <c r="T113" s="59">
        <f t="shared" si="88"/>
        <v>263.50418595307343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6.0208289123532994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3.6708083447226307E-11</v>
      </c>
      <c r="AC113" s="22">
        <f t="shared" si="57"/>
        <v>6.0208289123900078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304</v>
      </c>
      <c r="AG113" s="12">
        <f>VLOOKUP(A113,'Données projet'!$A$61:$I$81,9,0)</f>
        <v>4.5999999999999996</v>
      </c>
      <c r="AH113" s="12">
        <f t="array" ref="AH113">INDEX(AG:AG,MIN(IF(ISNUMBER(AG113:AG309),ROW(AG113:AG309),"")))</f>
        <v>4.5999999999999996</v>
      </c>
      <c r="AI113" s="13">
        <f>IF('Données projet'!$A$62&gt;35,AI112+AH113-AQ112,IF(A113&lt;'Données projet'!$A$62,$AF$205^A113,IF(A113='Données projet'!$A$62,'Données projet'!$B$62,AI112+AH113-AQ112)))</f>
        <v>304.00000000000023</v>
      </c>
      <c r="AJ113" s="13">
        <f>AI113*VLOOKUP('Données projet'!$B$10,Paramètres!$A$1:$I$89,3,0)*VLOOKUP('Données projet'!$B$10,Paramètres!$A$1:$I$89,5,0)</f>
        <v>256.08960000000025</v>
      </c>
      <c r="AK113" s="13">
        <f t="shared" si="89"/>
        <v>61.888104962349772</v>
      </c>
      <c r="AL113" s="20">
        <f t="shared" si="58"/>
        <v>553.81116947609291</v>
      </c>
      <c r="AM113" s="59">
        <f t="shared" si="59"/>
        <v>847.14450280942629</v>
      </c>
      <c r="AN113" s="59">
        <f ca="1">AVERAGE(OFFSET($AM$3,0,0,'Données projet'!$E$10+1,1))-AVERAGE(OFFSET($H$3,0,0,'Données projet'!$E$10+1,1))</f>
        <v>276.71735592065937</v>
      </c>
      <c r="AO113" s="59">
        <f t="shared" si="90"/>
        <v>159.98571289571038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39</v>
      </c>
      <c r="AR113" s="16">
        <f>IF(ISNA(VLOOKUP(A113,'Données projet'!$A$61:$I$81,5,0)),0%,VLOOKUP(A113,'Données projet'!$A$61:$I$81,5,0)*VLOOKUP('Données projet'!$B$10,Paramètres!$A$1:$I$89,7,0))</f>
        <v>0.43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39.67677222602579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39.67677222602579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2.7193891583010558E-13</v>
      </c>
      <c r="P114" s="13">
        <f t="shared" si="87"/>
        <v>3.6362267729089988E-12</v>
      </c>
      <c r="Q114" s="20">
        <f t="shared" si="107"/>
        <v>6.8067219078872727E-12</v>
      </c>
      <c r="R114" s="59">
        <f t="shared" si="55"/>
        <v>293.33333333334014</v>
      </c>
      <c r="S114" s="59">
        <f ca="1">AVERAGE(OFFSET($R$3,0,0,'Données projet'!$E$9+1,1))-AVERAGE(OFFSET($H$3,0,0,'Données projet'!$E$9+1,1))</f>
        <v>252.28378247570731</v>
      </c>
      <c r="T114" s="59">
        <f t="shared" si="88"/>
        <v>263.50418595307343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5.9027641297250737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2.595653472989538E-11</v>
      </c>
      <c r="AC114" s="22">
        <f t="shared" si="57"/>
        <v>5.9027641297510298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3.7</v>
      </c>
      <c r="AI114" s="13">
        <f>IF('Données projet'!$A$62&gt;35,AI113+AH114-AQ113,IF(A114&lt;'Données projet'!$A$62,$AF$205^A114,IF(A114='Données projet'!$A$62,'Données projet'!$B$62,AI113+AH114-AQ113)))</f>
        <v>268.70000000000022</v>
      </c>
      <c r="AJ114" s="13">
        <f>AI114*VLOOKUP('Données projet'!$B$10,Paramètres!$A$1:$I$89,3,0)*VLOOKUP('Données projet'!$B$10,Paramètres!$A$1:$I$89,5,0)</f>
        <v>226.3528800000002</v>
      </c>
      <c r="AK114" s="13">
        <f t="shared" si="89"/>
        <v>55.493356810213065</v>
      </c>
      <c r="AL114" s="20">
        <f t="shared" si="58"/>
        <v>490.88219577778813</v>
      </c>
      <c r="AM114" s="59">
        <f t="shared" si="59"/>
        <v>784.21552911112144</v>
      </c>
      <c r="AN114" s="59">
        <f ca="1">AVERAGE(OFFSET($AM$3,0,0,'Données projet'!$E$10+1,1))-AVERAGE(OFFSET($H$3,0,0,'Données projet'!$E$10+1,1))</f>
        <v>276.71735592065937</v>
      </c>
      <c r="AO114" s="59">
        <f t="shared" si="90"/>
        <v>159.98571289571038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38.898734923114887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38.898734923114887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2.7193891583010558E-13</v>
      </c>
      <c r="P115" s="13">
        <f t="shared" si="87"/>
        <v>3.6362267729089988E-12</v>
      </c>
      <c r="Q115" s="20">
        <f t="shared" si="107"/>
        <v>6.8067219078872727E-12</v>
      </c>
      <c r="R115" s="59">
        <f t="shared" si="55"/>
        <v>293.33333333334014</v>
      </c>
      <c r="S115" s="59">
        <f ca="1">AVERAGE(OFFSET($R$3,0,0,'Données projet'!$E$9+1,1))-AVERAGE(OFFSET($H$3,0,0,'Données projet'!$E$9+1,1))</f>
        <v>252.28378247570731</v>
      </c>
      <c r="T115" s="59">
        <f t="shared" si="88"/>
        <v>263.50418595307343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5.7870145254717809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1.8354041723613154E-11</v>
      </c>
      <c r="AC115" s="22">
        <f t="shared" si="57"/>
        <v>5.7870145254901351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3.7</v>
      </c>
      <c r="AI115" s="13">
        <f>IF('Données projet'!$A$62&gt;35,AI114+AH115-AQ114,IF(A115&lt;'Données projet'!$A$62,$AF$205^A115,IF(A115='Données projet'!$A$62,'Données projet'!$B$62,AI114+AH115-AQ114)))</f>
        <v>272.4000000000002</v>
      </c>
      <c r="AJ115" s="13">
        <f>AI115*VLOOKUP('Données projet'!$B$10,Paramètres!$A$1:$I$89,3,0)*VLOOKUP('Données projet'!$B$10,Paramètres!$A$1:$I$89,5,0)</f>
        <v>229.46976000000018</v>
      </c>
      <c r="AK115" s="13">
        <f t="shared" si="89"/>
        <v>56.168015849852871</v>
      </c>
      <c r="AL115" s="20">
        <f t="shared" si="58"/>
        <v>497.48579293849394</v>
      </c>
      <c r="AM115" s="59">
        <f t="shared" si="59"/>
        <v>790.81912627182726</v>
      </c>
      <c r="AN115" s="59">
        <f ca="1">AVERAGE(OFFSET($AM$3,0,0,'Données projet'!$E$10+1,1))-AVERAGE(OFFSET($H$3,0,0,'Données projet'!$E$10+1,1))</f>
        <v>276.71735592065937</v>
      </c>
      <c r="AO115" s="59">
        <f t="shared" si="90"/>
        <v>159.98571289571038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38.135954457158171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38.135954457158171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2.7193891583010558E-13</v>
      </c>
      <c r="P116" s="13">
        <f t="shared" si="87"/>
        <v>3.6362267729089988E-12</v>
      </c>
      <c r="Q116" s="20">
        <f t="shared" si="107"/>
        <v>6.8067219078872727E-12</v>
      </c>
      <c r="R116" s="59">
        <f t="shared" si="55"/>
        <v>293.33333333334014</v>
      </c>
      <c r="S116" s="59">
        <f ca="1">AVERAGE(OFFSET($R$3,0,0,'Données projet'!$E$9+1,1))-AVERAGE(OFFSET($H$3,0,0,'Données projet'!$E$9+1,1))</f>
        <v>252.28378247570731</v>
      </c>
      <c r="T116" s="59">
        <f t="shared" si="88"/>
        <v>263.50418595307343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5.6735347003576075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1.297826736494769E-11</v>
      </c>
      <c r="AC116" s="22">
        <f t="shared" si="57"/>
        <v>5.6735347003705856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3.7</v>
      </c>
      <c r="AI116" s="13">
        <f>IF('Données projet'!$A$62&gt;35,AI115+AH116-AQ115,IF(A116&lt;'Données projet'!$A$62,$AF$205^A116,IF(A116='Données projet'!$A$62,'Données projet'!$B$62,AI115+AH116-AQ115)))</f>
        <v>276.10000000000019</v>
      </c>
      <c r="AJ116" s="13">
        <f>AI116*VLOOKUP('Données projet'!$B$10,Paramètres!$A$1:$I$89,3,0)*VLOOKUP('Données projet'!$B$10,Paramètres!$A$1:$I$89,5,0)</f>
        <v>232.58664000000019</v>
      </c>
      <c r="AK116" s="13">
        <f t="shared" si="89"/>
        <v>56.841609023050268</v>
      </c>
      <c r="AL116" s="20">
        <f t="shared" si="58"/>
        <v>504.08753371514609</v>
      </c>
      <c r="AM116" s="59">
        <f t="shared" si="59"/>
        <v>797.42086704847941</v>
      </c>
      <c r="AN116" s="59">
        <f ca="1">AVERAGE(OFFSET($AM$3,0,0,'Données projet'!$E$10+1,1))-AVERAGE(OFFSET($H$3,0,0,'Données projet'!$E$10+1,1))</f>
        <v>276.71735592065937</v>
      </c>
      <c r="AO116" s="59">
        <f t="shared" si="90"/>
        <v>159.98571289571038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37.388131650888724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37.388131650888724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2.7193891583010558E-13</v>
      </c>
      <c r="P117" s="13">
        <f t="shared" si="87"/>
        <v>3.6362267729089988E-12</v>
      </c>
      <c r="Q117" s="20">
        <f t="shared" si="107"/>
        <v>6.8067219078872727E-12</v>
      </c>
      <c r="R117" s="59">
        <f t="shared" si="55"/>
        <v>293.33333333334014</v>
      </c>
      <c r="S117" s="59">
        <f ca="1">AVERAGE(OFFSET($R$3,0,0,'Données projet'!$E$9+1,1))-AVERAGE(OFFSET($H$3,0,0,'Données projet'!$E$9+1,1))</f>
        <v>252.28378247570731</v>
      </c>
      <c r="T117" s="59">
        <f t="shared" si="88"/>
        <v>263.50418595307343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5.5622801453980646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9.1770208618065768E-12</v>
      </c>
      <c r="AC117" s="22">
        <f t="shared" si="57"/>
        <v>5.5622801454072412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3.7</v>
      </c>
      <c r="AI117" s="13">
        <f>IF('Données projet'!$A$62&gt;35,AI116+AH117-AQ116,IF(A117&lt;'Données projet'!$A$62,$AF$205^A117,IF(A117='Données projet'!$A$62,'Données projet'!$B$62,AI116+AH117-AQ116)))</f>
        <v>279.80000000000018</v>
      </c>
      <c r="AJ117" s="13">
        <f>AI117*VLOOKUP('Données projet'!$B$10,Paramètres!$A$1:$I$89,3,0)*VLOOKUP('Données projet'!$B$10,Paramètres!$A$1:$I$89,5,0)</f>
        <v>235.70352000000017</v>
      </c>
      <c r="AK117" s="13">
        <f t="shared" si="89"/>
        <v>57.51415226456097</v>
      </c>
      <c r="AL117" s="20">
        <f t="shared" si="58"/>
        <v>510.68744586077736</v>
      </c>
      <c r="AM117" s="59">
        <f t="shared" si="59"/>
        <v>804.02077919411067</v>
      </c>
      <c r="AN117" s="59">
        <f ca="1">AVERAGE(OFFSET($AM$3,0,0,'Données projet'!$E$10+1,1))-AVERAGE(OFFSET($H$3,0,0,'Données projet'!$E$10+1,1))</f>
        <v>276.71735592065937</v>
      </c>
      <c r="AO117" s="59">
        <f t="shared" si="90"/>
        <v>159.98571289571038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36.654973193723343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36.654973193723343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2.7193891583010558E-13</v>
      </c>
      <c r="P118" s="13">
        <f t="shared" si="87"/>
        <v>3.6362267729089988E-12</v>
      </c>
      <c r="Q118" s="20">
        <f t="shared" si="107"/>
        <v>6.8067219078872727E-12</v>
      </c>
      <c r="R118" s="59">
        <f t="shared" si="55"/>
        <v>293.33333333334014</v>
      </c>
      <c r="S118" s="59">
        <f ca="1">AVERAGE(OFFSET($R$3,0,0,'Données projet'!$E$9+1,1))-AVERAGE(OFFSET($H$3,0,0,'Données projet'!$E$9+1,1))</f>
        <v>252.28378247570731</v>
      </c>
      <c r="T118" s="59">
        <f t="shared" si="88"/>
        <v>263.50418595307343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5.4532072244026999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6.489133682473845E-12</v>
      </c>
      <c r="AC118" s="22">
        <f t="shared" si="57"/>
        <v>5.4532072244091889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3.7</v>
      </c>
      <c r="AI118" s="13">
        <f>IF('Données projet'!$A$62&gt;35,AI117+AH118-AQ117,IF(A118&lt;'Données projet'!$A$62,$AF$205^A118,IF(A118='Données projet'!$A$62,'Données projet'!$B$62,AI117+AH118-AQ117)))</f>
        <v>283.50000000000017</v>
      </c>
      <c r="AJ118" s="13">
        <f>AI118*VLOOKUP('Données projet'!$B$10,Paramètres!$A$1:$I$89,3,0)*VLOOKUP('Données projet'!$B$10,Paramètres!$A$1:$I$89,5,0)</f>
        <v>238.82040000000015</v>
      </c>
      <c r="AK118" s="13">
        <f t="shared" si="89"/>
        <v>58.18566106348397</v>
      </c>
      <c r="AL118" s="20">
        <f t="shared" si="58"/>
        <v>517.28555635223483</v>
      </c>
      <c r="AM118" s="59">
        <f t="shared" si="59"/>
        <v>810.61888968556809</v>
      </c>
      <c r="AN118" s="59">
        <f ca="1">AVERAGE(OFFSET($AM$3,0,0,'Données projet'!$E$10+1,1))-AVERAGE(OFFSET($H$3,0,0,'Données projet'!$E$10+1,1))</f>
        <v>276.71735592065937</v>
      </c>
      <c r="AO118" s="59">
        <f t="shared" si="90"/>
        <v>159.98571289571038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35.936191526720471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35.936191526720471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2.7193891583010558E-13</v>
      </c>
      <c r="P119" s="13">
        <f t="shared" si="87"/>
        <v>3.6362267729089988E-12</v>
      </c>
      <c r="Q119" s="20">
        <f t="shared" si="107"/>
        <v>6.8067219078872727E-12</v>
      </c>
      <c r="R119" s="59">
        <f t="shared" si="55"/>
        <v>293.33333333334014</v>
      </c>
      <c r="S119" s="59">
        <f ca="1">AVERAGE(OFFSET($R$3,0,0,'Données projet'!$E$9+1,1))-AVERAGE(OFFSET($H$3,0,0,'Données projet'!$E$9+1,1))</f>
        <v>252.28378247570731</v>
      </c>
      <c r="T119" s="59">
        <f t="shared" si="88"/>
        <v>263.50418595307343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5.3462731568601418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4.5885104309032884E-12</v>
      </c>
      <c r="AC119" s="22">
        <f t="shared" si="57"/>
        <v>5.3462731568647301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3.7</v>
      </c>
      <c r="AI119" s="13">
        <f>IF('Données projet'!$A$62&gt;35,AI118+AH119-AQ118,IF(A119&lt;'Données projet'!$A$62,$AF$205^A119,IF(A119='Données projet'!$A$62,'Données projet'!$B$62,AI118+AH119-AQ118)))</f>
        <v>287.20000000000016</v>
      </c>
      <c r="AJ119" s="13">
        <f>AI119*VLOOKUP('Données projet'!$B$10,Paramètres!$A$1:$I$89,3,0)*VLOOKUP('Données projet'!$B$10,Paramètres!$A$1:$I$89,5,0)</f>
        <v>241.93728000000019</v>
      </c>
      <c r="AK119" s="13">
        <f t="shared" si="89"/>
        <v>58.856150481375316</v>
      </c>
      <c r="AL119" s="20">
        <f t="shared" si="58"/>
        <v>523.88189142172894</v>
      </c>
      <c r="AM119" s="59">
        <f t="shared" si="59"/>
        <v>817.21522475506231</v>
      </c>
      <c r="AN119" s="59">
        <f ca="1">AVERAGE(OFFSET($AM$3,0,0,'Données projet'!$E$10+1,1))-AVERAGE(OFFSET($H$3,0,0,'Données projet'!$E$10+1,1))</f>
        <v>276.71735592065937</v>
      </c>
      <c r="AO119" s="59">
        <f t="shared" si="90"/>
        <v>159.98571289571038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35.231504729794004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35.231504729794004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2.7193891583010558E-13</v>
      </c>
      <c r="P120" s="13">
        <f t="shared" si="87"/>
        <v>3.6362267729089988E-12</v>
      </c>
      <c r="Q120" s="20">
        <f t="shared" si="107"/>
        <v>6.8067219078872727E-12</v>
      </c>
      <c r="R120" s="59">
        <f t="shared" si="55"/>
        <v>293.33333333334014</v>
      </c>
      <c r="S120" s="59">
        <f ca="1">AVERAGE(OFFSET($R$3,0,0,'Données projet'!$E$9+1,1))-AVERAGE(OFFSET($H$3,0,0,'Données projet'!$E$9+1,1))</f>
        <v>252.28378247570731</v>
      </c>
      <c r="T120" s="59">
        <f t="shared" si="88"/>
        <v>263.50418595307343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5.2414360011587524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3.2445668412369225E-12</v>
      </c>
      <c r="AC120" s="22">
        <f t="shared" si="57"/>
        <v>5.2414360011619969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3.7</v>
      </c>
      <c r="AI120" s="13">
        <f>IF('Données projet'!$A$62&gt;35,AI119+AH120-AQ119,IF(A120&lt;'Données projet'!$A$62,$AF$205^A120,IF(A120='Données projet'!$A$62,'Données projet'!$B$62,AI119+AH120-AQ119)))</f>
        <v>290.90000000000015</v>
      </c>
      <c r="AJ120" s="13">
        <f>AI120*VLOOKUP('Données projet'!$B$10,Paramètres!$A$1:$I$89,3,0)*VLOOKUP('Données projet'!$B$10,Paramètres!$A$1:$I$89,5,0)</f>
        <v>245.05416000000017</v>
      </c>
      <c r="AK120" s="13">
        <f t="shared" si="89"/>
        <v>59.52563516940284</v>
      </c>
      <c r="AL120" s="20">
        <f t="shared" si="58"/>
        <v>530.47647658671019</v>
      </c>
      <c r="AM120" s="59">
        <f t="shared" si="59"/>
        <v>823.80980992004356</v>
      </c>
      <c r="AN120" s="59">
        <f ca="1">AVERAGE(OFFSET($AM$3,0,0,'Données projet'!$E$10+1,1))-AVERAGE(OFFSET($H$3,0,0,'Données projet'!$E$10+1,1))</f>
        <v>276.71735592065937</v>
      </c>
      <c r="AO120" s="59">
        <f t="shared" si="90"/>
        <v>159.98571289571038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34.540636411138756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34.540636411138756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2.7193891583010558E-13</v>
      </c>
      <c r="P121" s="13">
        <f t="shared" si="87"/>
        <v>3.6362267729089988E-12</v>
      </c>
      <c r="Q121" s="20">
        <f t="shared" si="107"/>
        <v>6.8067219078872727E-12</v>
      </c>
      <c r="R121" s="59">
        <f t="shared" si="55"/>
        <v>293.33333333334014</v>
      </c>
      <c r="S121" s="59">
        <f ca="1">AVERAGE(OFFSET($R$3,0,0,'Données projet'!$E$9+1,1))-AVERAGE(OFFSET($H$3,0,0,'Données projet'!$E$9+1,1))</f>
        <v>252.28378247570731</v>
      </c>
      <c r="T121" s="59">
        <f t="shared" si="88"/>
        <v>263.50418595307343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5.1386546381363161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2.2942552154516442E-12</v>
      </c>
      <c r="AC121" s="22">
        <f t="shared" si="57"/>
        <v>5.1386546381386102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3.7</v>
      </c>
      <c r="AI121" s="13">
        <f>IF('Données projet'!$A$62&gt;35,AI120+AH121-AQ120,IF(A121&lt;'Données projet'!$A$62,$AF$205^A121,IF(A121='Données projet'!$A$62,'Données projet'!$B$62,AI120+AH121-AQ120)))</f>
        <v>294.60000000000014</v>
      </c>
      <c r="AJ121" s="13">
        <f>AI121*VLOOKUP('Données projet'!$B$10,Paramètres!$A$1:$I$89,3,0)*VLOOKUP('Données projet'!$B$10,Paramètres!$A$1:$I$89,5,0)</f>
        <v>248.17104000000015</v>
      </c>
      <c r="AK121" s="13">
        <f t="shared" si="89"/>
        <v>60.194129384602547</v>
      </c>
      <c r="AL121" s="20">
        <f t="shared" si="58"/>
        <v>537.06933667818305</v>
      </c>
      <c r="AM121" s="59">
        <f t="shared" si="59"/>
        <v>830.40267001151642</v>
      </c>
      <c r="AN121" s="59">
        <f ca="1">AVERAGE(OFFSET($AM$3,0,0,'Données projet'!$E$10+1,1))-AVERAGE(OFFSET($H$3,0,0,'Données projet'!$E$10+1,1))</f>
        <v>276.71735592065937</v>
      </c>
      <c r="AO121" s="59">
        <f t="shared" si="90"/>
        <v>159.98571289571038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33.863315598824272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33.863315598824272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2.7193891583010558E-13</v>
      </c>
      <c r="P122" s="13">
        <f t="shared" si="87"/>
        <v>3.6362267729089988E-12</v>
      </c>
      <c r="Q122" s="20">
        <f t="shared" si="107"/>
        <v>6.8067219078872727E-12</v>
      </c>
      <c r="R122" s="59">
        <f t="shared" si="55"/>
        <v>293.33333333334014</v>
      </c>
      <c r="S122" s="59">
        <f ca="1">AVERAGE(OFFSET($R$3,0,0,'Données projet'!$E$9+1,1))-AVERAGE(OFFSET($H$3,0,0,'Données projet'!$E$9+1,1))</f>
        <v>252.28378247570731</v>
      </c>
      <c r="T122" s="59">
        <f t="shared" si="88"/>
        <v>263.50418595307343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5.0378887549523084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1.6222834206184612E-12</v>
      </c>
      <c r="AC122" s="22">
        <f t="shared" si="57"/>
        <v>5.0378887549539311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3.7</v>
      </c>
      <c r="AI122" s="13">
        <f>IF('Données projet'!$A$62&gt;35,AI121+AH122-AQ121,IF(A122&lt;'Données projet'!$A$62,$AF$205^A122,IF(A122='Données projet'!$A$62,'Données projet'!$B$62,AI121+AH122-AQ121)))</f>
        <v>298.30000000000013</v>
      </c>
      <c r="AJ122" s="13">
        <f>AI122*VLOOKUP('Données projet'!$B$10,Paramètres!$A$1:$I$89,3,0)*VLOOKUP('Données projet'!$B$10,Paramètres!$A$1:$I$89,5,0)</f>
        <v>251.28792000000013</v>
      </c>
      <c r="AK122" s="13">
        <f t="shared" si="89"/>
        <v>60.861647005295545</v>
      </c>
      <c r="AL122" s="20">
        <f t="shared" si="58"/>
        <v>543.66049586755673</v>
      </c>
      <c r="AM122" s="59">
        <f t="shared" si="59"/>
        <v>836.9938292008901</v>
      </c>
      <c r="AN122" s="59">
        <f ca="1">AVERAGE(OFFSET($AM$3,0,0,'Données projet'!$E$10+1,1))-AVERAGE(OFFSET($H$3,0,0,'Données projet'!$E$10+1,1))</f>
        <v>276.71735592065937</v>
      </c>
      <c r="AO122" s="59">
        <f t="shared" si="90"/>
        <v>159.98571289571038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33.199276634514369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33.199276634514369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2.7193891583010558E-13</v>
      </c>
      <c r="P123" s="13">
        <f t="shared" si="87"/>
        <v>3.6362267729089988E-12</v>
      </c>
      <c r="Q123" s="20">
        <f t="shared" si="107"/>
        <v>6.8067219078872727E-12</v>
      </c>
      <c r="R123" s="59">
        <f t="shared" si="55"/>
        <v>293.33333333334014</v>
      </c>
      <c r="S123" s="59">
        <f ca="1">AVERAGE(OFFSET($R$3,0,0,'Données projet'!$E$9+1,1))-AVERAGE(OFFSET($H$3,0,0,'Données projet'!$E$9+1,1))</f>
        <v>252.28378247570731</v>
      </c>
      <c r="T123" s="59">
        <f t="shared" si="88"/>
        <v>263.50418595307343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4.9390988292764195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1.1471276077258221E-12</v>
      </c>
      <c r="AC123" s="22">
        <f t="shared" si="57"/>
        <v>4.939098829277567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302</v>
      </c>
      <c r="AG123" s="12">
        <f>VLOOKUP(A123,'Données projet'!$A$61:$I$81,9,0)</f>
        <v>3.7</v>
      </c>
      <c r="AH123" s="12">
        <f t="array" ref="AH123">INDEX(AG:AG,MIN(IF(ISNUMBER(AG123:AG319),ROW(AG123:AG319),"")))</f>
        <v>3.7</v>
      </c>
      <c r="AI123" s="13">
        <f>IF('Données projet'!$A$62&gt;35,AI122+AH123-AQ122,IF(A123&lt;'Données projet'!$A$62,$AF$205^A123,IF(A123='Données projet'!$A$62,'Données projet'!$B$62,AI122+AH123-AQ122)))</f>
        <v>302.00000000000011</v>
      </c>
      <c r="AJ123" s="13">
        <f>AI123*VLOOKUP('Données projet'!$B$10,Paramètres!$A$1:$I$89,3,0)*VLOOKUP('Données projet'!$B$10,Paramètres!$A$1:$I$89,5,0)</f>
        <v>254.40480000000011</v>
      </c>
      <c r="AK123" s="13">
        <f t="shared" si="89"/>
        <v>61.52820154571765</v>
      </c>
      <c r="AL123" s="20">
        <f t="shared" si="58"/>
        <v>550.24997769212507</v>
      </c>
      <c r="AM123" s="59">
        <f t="shared" si="59"/>
        <v>843.58331102545844</v>
      </c>
      <c r="AN123" s="59">
        <f ca="1">AVERAGE(OFFSET($AM$3,0,0,'Données projet'!$E$10+1,1))-AVERAGE(OFFSET($H$3,0,0,'Données projet'!$E$10+1,1))</f>
        <v>276.71735592065937</v>
      </c>
      <c r="AO123" s="59">
        <f t="shared" si="90"/>
        <v>159.98571289571038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35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32.548259069270813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32.548259069270813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2.7193891583010558E-13</v>
      </c>
      <c r="P124" s="13">
        <f t="shared" si="87"/>
        <v>3.6362267729089988E-12</v>
      </c>
      <c r="Q124" s="20">
        <f t="shared" si="107"/>
        <v>6.8067219078872727E-12</v>
      </c>
      <c r="R124" s="59">
        <f t="shared" si="55"/>
        <v>293.33333333334014</v>
      </c>
      <c r="S124" s="59">
        <f ca="1">AVERAGE(OFFSET($R$3,0,0,'Données projet'!$E$9+1,1))-AVERAGE(OFFSET($H$3,0,0,'Données projet'!$E$9+1,1))</f>
        <v>252.28378247570731</v>
      </c>
      <c r="T124" s="59">
        <f t="shared" si="88"/>
        <v>263.50418595307343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4.8422461137871302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8.1114171030923062E-13</v>
      </c>
      <c r="AC124" s="22">
        <f t="shared" si="57"/>
        <v>4.8422461137879411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3.2</v>
      </c>
      <c r="AI124" s="13">
        <f>IF('Données projet'!$A$62&gt;35,AI123+AH124-AQ123,IF(A124&lt;'Données projet'!$A$62,$AF$205^A124,IF(A124='Données projet'!$A$62,'Données projet'!$B$62,AI123+AH124-AQ123)))</f>
        <v>270.2000000000001</v>
      </c>
      <c r="AJ124" s="13">
        <f>AI124*VLOOKUP('Données projet'!$B$10,Paramètres!$A$1:$I$89,3,0)*VLOOKUP('Données projet'!$B$10,Paramètres!$A$1:$I$89,5,0)</f>
        <v>227.61648000000011</v>
      </c>
      <c r="AK124" s="13">
        <f t="shared" si="89"/>
        <v>55.766996736151285</v>
      </c>
      <c r="AL124" s="20">
        <f t="shared" si="58"/>
        <v>493.55955531546368</v>
      </c>
      <c r="AM124" s="59">
        <f t="shared" si="59"/>
        <v>786.892888648797</v>
      </c>
      <c r="AN124" s="59">
        <f ca="1">AVERAGE(OFFSET($AM$3,0,0,'Données projet'!$E$10+1,1))-AVERAGE(OFFSET($H$3,0,0,'Données projet'!$E$10+1,1))</f>
        <v>276.71735592065937</v>
      </c>
      <c r="AO124" s="59">
        <f t="shared" si="90"/>
        <v>159.98571289571038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31.910007561400175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31.910007561400175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2.7193891583010558E-13</v>
      </c>
      <c r="P125" s="13">
        <f t="shared" si="87"/>
        <v>3.6362267729089988E-12</v>
      </c>
      <c r="Q125" s="20">
        <f t="shared" si="107"/>
        <v>6.8067219078872727E-12</v>
      </c>
      <c r="R125" s="59">
        <f t="shared" si="55"/>
        <v>293.33333333334014</v>
      </c>
      <c r="S125" s="59">
        <f ca="1">AVERAGE(OFFSET($R$3,0,0,'Données projet'!$E$9+1,1))-AVERAGE(OFFSET($H$3,0,0,'Données projet'!$E$9+1,1))</f>
        <v>252.28378247570731</v>
      </c>
      <c r="T125" s="59">
        <f t="shared" si="88"/>
        <v>263.50418595307343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4.7472926209742621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5.7356380386291105E-13</v>
      </c>
      <c r="AC125" s="22">
        <f t="shared" si="57"/>
        <v>4.7472926209748358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3.2</v>
      </c>
      <c r="AI125" s="13">
        <f>IF('Données projet'!$A$62&gt;35,AI124+AH125-AQ124,IF(A125&lt;'Données projet'!$A$62,$AF$205^A125,IF(A125='Données projet'!$A$62,'Données projet'!$B$62,AI124+AH125-AQ124)))</f>
        <v>273.40000000000009</v>
      </c>
      <c r="AJ125" s="13">
        <f>AI125*VLOOKUP('Données projet'!$B$10,Paramètres!$A$1:$I$89,3,0)*VLOOKUP('Données projet'!$B$10,Paramètres!$A$1:$I$89,5,0)</f>
        <v>230.31216000000009</v>
      </c>
      <c r="AK125" s="13">
        <f t="shared" si="89"/>
        <v>56.350172492598432</v>
      </c>
      <c r="AL125" s="20">
        <f t="shared" si="58"/>
        <v>499.27022909127572</v>
      </c>
      <c r="AM125" s="59">
        <f t="shared" si="59"/>
        <v>792.60356242460898</v>
      </c>
      <c r="AN125" s="59">
        <f ca="1">AVERAGE(OFFSET($AM$3,0,0,'Données projet'!$E$10+1,1))-AVERAGE(OFFSET($H$3,0,0,'Données projet'!$E$10+1,1))</f>
        <v>276.71735592065937</v>
      </c>
      <c r="AO125" s="59">
        <f t="shared" si="90"/>
        <v>159.98571289571038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31.2842717763039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31.2842717763039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2.7193891583010558E-13</v>
      </c>
      <c r="P126" s="13">
        <f t="shared" si="87"/>
        <v>3.6362267729089988E-12</v>
      </c>
      <c r="Q126" s="20">
        <f t="shared" si="107"/>
        <v>6.8067219078872727E-12</v>
      </c>
      <c r="R126" s="59">
        <f t="shared" si="55"/>
        <v>293.33333333334014</v>
      </c>
      <c r="S126" s="59">
        <f ca="1">AVERAGE(OFFSET($R$3,0,0,'Données projet'!$E$9+1,1))-AVERAGE(OFFSET($H$3,0,0,'Données projet'!$E$9+1,1))</f>
        <v>252.28378247570731</v>
      </c>
      <c r="T126" s="59">
        <f t="shared" si="88"/>
        <v>263.50418595307343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4.6542011082395423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4.0557085515461531E-13</v>
      </c>
      <c r="AC126" s="22">
        <f t="shared" si="57"/>
        <v>4.6542011082399481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3.2</v>
      </c>
      <c r="AI126" s="13">
        <f>IF('Données projet'!$A$62&gt;35,AI125+AH126-AQ125,IF(A126&lt;'Données projet'!$A$62,$AF$205^A126,IF(A126='Données projet'!$A$62,'Données projet'!$B$62,AI125+AH126-AQ125)))</f>
        <v>276.60000000000008</v>
      </c>
      <c r="AJ126" s="13">
        <f>AI126*VLOOKUP('Données projet'!$B$10,Paramètres!$A$1:$I$89,3,0)*VLOOKUP('Données projet'!$B$10,Paramètres!$A$1:$I$89,5,0)</f>
        <v>233.0078400000001</v>
      </c>
      <c r="AK126" s="13">
        <f t="shared" si="89"/>
        <v>56.932554252544712</v>
      </c>
      <c r="AL126" s="20">
        <f t="shared" si="58"/>
        <v>504.97951998984882</v>
      </c>
      <c r="AM126" s="59">
        <f t="shared" si="59"/>
        <v>798.31285332318214</v>
      </c>
      <c r="AN126" s="59">
        <f ca="1">AVERAGE(OFFSET($AM$3,0,0,'Données projet'!$E$10+1,1))-AVERAGE(OFFSET($H$3,0,0,'Données projet'!$E$10+1,1))</f>
        <v>276.71735592065937</v>
      </c>
      <c r="AO126" s="59">
        <f t="shared" si="90"/>
        <v>159.98571289571038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30.670806288292219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30.670806288292219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2.7193891583010558E-13</v>
      </c>
      <c r="P127" s="13">
        <f t="shared" si="87"/>
        <v>3.6362267729089988E-12</v>
      </c>
      <c r="Q127" s="20">
        <f t="shared" si="107"/>
        <v>6.8067219078872727E-12</v>
      </c>
      <c r="R127" s="59">
        <f t="shared" si="55"/>
        <v>293.33333333334014</v>
      </c>
      <c r="S127" s="59">
        <f ca="1">AVERAGE(OFFSET($R$3,0,0,'Données projet'!$E$9+1,1))-AVERAGE(OFFSET($H$3,0,0,'Données projet'!$E$9+1,1))</f>
        <v>252.28378247570731</v>
      </c>
      <c r="T127" s="59">
        <f t="shared" si="88"/>
        <v>263.50418595307343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4.5629350632893342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2.8678190193145552E-13</v>
      </c>
      <c r="AC127" s="22">
        <f t="shared" si="57"/>
        <v>4.5629350632896211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3.2</v>
      </c>
      <c r="AI127" s="13">
        <f>IF('Données projet'!$A$62&gt;35,AI126+AH127-AQ126,IF(A127&lt;'Données projet'!$A$62,$AF$205^A127,IF(A127='Données projet'!$A$62,'Données projet'!$B$62,AI126+AH127-AQ126)))</f>
        <v>279.80000000000007</v>
      </c>
      <c r="AJ127" s="13">
        <f>AI127*VLOOKUP('Données projet'!$B$10,Paramètres!$A$1:$I$89,3,0)*VLOOKUP('Données projet'!$B$10,Paramètres!$A$1:$I$89,5,0)</f>
        <v>235.70352000000008</v>
      </c>
      <c r="AK127" s="13">
        <f t="shared" si="89"/>
        <v>57.51415226456097</v>
      </c>
      <c r="AL127" s="20">
        <f t="shared" si="58"/>
        <v>510.68744586077713</v>
      </c>
      <c r="AM127" s="59">
        <f t="shared" si="59"/>
        <v>804.02077919411045</v>
      </c>
      <c r="AN127" s="59">
        <f ca="1">AVERAGE(OFFSET($AM$3,0,0,'Données projet'!$E$10+1,1))-AVERAGE(OFFSET($H$3,0,0,'Données projet'!$E$10+1,1))</f>
        <v>276.71735592065937</v>
      </c>
      <c r="AO127" s="59">
        <f t="shared" si="90"/>
        <v>159.98571289571038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30.069370484323446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30.069370484323446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2.7193891583010558E-13</v>
      </c>
      <c r="P128" s="13">
        <f t="shared" si="87"/>
        <v>3.6362267729089988E-12</v>
      </c>
      <c r="Q128" s="20">
        <f t="shared" si="107"/>
        <v>6.8067219078872727E-12</v>
      </c>
      <c r="R128" s="59">
        <f t="shared" si="55"/>
        <v>293.33333333334014</v>
      </c>
      <c r="S128" s="59">
        <f ca="1">AVERAGE(OFFSET($R$3,0,0,'Données projet'!$E$9+1,1))-AVERAGE(OFFSET($H$3,0,0,'Données projet'!$E$9+1,1))</f>
        <v>252.28378247570731</v>
      </c>
      <c r="T128" s="59">
        <f t="shared" si="88"/>
        <v>263.50418595307343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4.4734586898138087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2.0278542757730765E-13</v>
      </c>
      <c r="AC128" s="22">
        <f t="shared" si="57"/>
        <v>4.4734586898140112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3.2</v>
      </c>
      <c r="AI128" s="13">
        <f>IF('Données projet'!$A$62&gt;35,AI127+AH128-AQ127,IF(A128&lt;'Données projet'!$A$62,$AF$205^A128,IF(A128='Données projet'!$A$62,'Données projet'!$B$62,AI127+AH128-AQ127)))</f>
        <v>283.00000000000006</v>
      </c>
      <c r="AJ128" s="13">
        <f>AI128*VLOOKUP('Données projet'!$B$10,Paramètres!$A$1:$I$89,3,0)*VLOOKUP('Données projet'!$B$10,Paramètres!$A$1:$I$89,5,0)</f>
        <v>238.39920000000009</v>
      </c>
      <c r="AK128" s="13">
        <f t="shared" si="89"/>
        <v>58.094976529303409</v>
      </c>
      <c r="AL128" s="20">
        <f t="shared" si="58"/>
        <v>516.39402412187019</v>
      </c>
      <c r="AM128" s="59">
        <f t="shared" si="59"/>
        <v>809.72735745520345</v>
      </c>
      <c r="AN128" s="59">
        <f ca="1">AVERAGE(OFFSET($AM$3,0,0,'Données projet'!$E$10+1,1))-AVERAGE(OFFSET($H$3,0,0,'Données projet'!$E$10+1,1))</f>
        <v>276.71735592065937</v>
      </c>
      <c r="AO128" s="59">
        <f t="shared" si="90"/>
        <v>159.98571289571038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29.479728469630885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29.479728469630885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2.7193891583010558E-13</v>
      </c>
      <c r="P129" s="13">
        <f t="shared" si="87"/>
        <v>3.6362267729089988E-12</v>
      </c>
      <c r="Q129" s="20">
        <f t="shared" si="107"/>
        <v>6.8067219078872727E-12</v>
      </c>
      <c r="R129" s="59">
        <f t="shared" si="55"/>
        <v>293.33333333334014</v>
      </c>
      <c r="S129" s="59">
        <f ca="1">AVERAGE(OFFSET($R$3,0,0,'Données projet'!$E$9+1,1))-AVERAGE(OFFSET($H$3,0,0,'Données projet'!$E$9+1,1))</f>
        <v>252.28378247570731</v>
      </c>
      <c r="T129" s="59">
        <f t="shared" si="88"/>
        <v>263.50418595307343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4.3857368934469401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1.4339095096572776E-13</v>
      </c>
      <c r="AC129" s="22">
        <f t="shared" si="57"/>
        <v>4.3857368934470831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3.2</v>
      </c>
      <c r="AI129" s="13">
        <f>IF('Données projet'!$A$62&gt;35,AI128+AH129-AQ128,IF(A129&lt;'Données projet'!$A$62,$AF$205^A129,IF(A129='Données projet'!$A$62,'Données projet'!$B$62,AI128+AH129-AQ128)))</f>
        <v>286.20000000000005</v>
      </c>
      <c r="AJ129" s="13">
        <f>AI129*VLOOKUP('Données projet'!$B$10,Paramètres!$A$1:$I$89,3,0)*VLOOKUP('Données projet'!$B$10,Paramètres!$A$1:$I$89,5,0)</f>
        <v>241.09488000000005</v>
      </c>
      <c r="AK129" s="13">
        <f t="shared" si="89"/>
        <v>58.675036808244357</v>
      </c>
      <c r="AL129" s="20">
        <f t="shared" si="58"/>
        <v>522.09927177435895</v>
      </c>
      <c r="AM129" s="59">
        <f t="shared" si="59"/>
        <v>815.43260510769232</v>
      </c>
      <c r="AN129" s="59">
        <f ca="1">AVERAGE(OFFSET($AM$3,0,0,'Données projet'!$E$10+1,1))-AVERAGE(OFFSET($H$3,0,0,'Données projet'!$E$10+1,1))</f>
        <v>276.71735592065937</v>
      </c>
      <c r="AO129" s="59">
        <f t="shared" si="90"/>
        <v>159.98571289571038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28.901648975200327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28.901648975200327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2.7193891583010558E-13</v>
      </c>
      <c r="P130" s="13">
        <f t="shared" si="87"/>
        <v>3.6362267729089988E-12</v>
      </c>
      <c r="Q130" s="20">
        <f t="shared" si="107"/>
        <v>6.8067219078872727E-12</v>
      </c>
      <c r="R130" s="59">
        <f t="shared" si="55"/>
        <v>293.33333333334014</v>
      </c>
      <c r="S130" s="59">
        <f ca="1">AVERAGE(OFFSET($R$3,0,0,'Données projet'!$E$9+1,1))-AVERAGE(OFFSET($H$3,0,0,'Données projet'!$E$9+1,1))</f>
        <v>252.28378247570731</v>
      </c>
      <c r="T130" s="59">
        <f t="shared" si="88"/>
        <v>263.50418595307343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4.2997352680018128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1.0139271378865383E-13</v>
      </c>
      <c r="AC130" s="22">
        <f t="shared" si="57"/>
        <v>4.2997352680019141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3.2</v>
      </c>
      <c r="AI130" s="13">
        <f>IF('Données projet'!$A$62&gt;35,AI129+AH130-AQ129,IF(A130&lt;'Données projet'!$A$62,$AF$205^A130,IF(A130='Données projet'!$A$62,'Données projet'!$B$62,AI129+AH130-AQ129)))</f>
        <v>289.40000000000003</v>
      </c>
      <c r="AJ130" s="13">
        <f>AI130*VLOOKUP('Données projet'!$B$10,Paramètres!$A$1:$I$89,3,0)*VLOOKUP('Données projet'!$B$10,Paramètres!$A$1:$I$89,5,0)</f>
        <v>243.79056000000006</v>
      </c>
      <c r="AK130" s="13">
        <f t="shared" si="89"/>
        <v>59.2543426320021</v>
      </c>
      <c r="AL130" s="20">
        <f t="shared" si="58"/>
        <v>527.80320541740377</v>
      </c>
      <c r="AM130" s="59">
        <f t="shared" si="59"/>
        <v>821.13653875073715</v>
      </c>
      <c r="AN130" s="59">
        <f ca="1">AVERAGE(OFFSET($AM$3,0,0,'Données projet'!$E$10+1,1))-AVERAGE(OFFSET($H$3,0,0,'Données projet'!$E$10+1,1))</f>
        <v>276.71735592065937</v>
      </c>
      <c r="AO130" s="59">
        <f t="shared" si="90"/>
        <v>159.98571289571038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28.334905267061878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28.334905267061878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2.7193891583010558E-13</v>
      </c>
      <c r="P131" s="13">
        <f t="shared" si="87"/>
        <v>3.6362267729089988E-12</v>
      </c>
      <c r="Q131" s="20">
        <f t="shared" ref="Q131:Q153" si="108">(O131+P131)*0.475*44/12</f>
        <v>6.8067219078872727E-12</v>
      </c>
      <c r="R131" s="59">
        <f t="shared" ref="R131:R194" si="109">Q131+(I131+J131)*44/12</f>
        <v>293.33333333334014</v>
      </c>
      <c r="S131" s="59">
        <f ca="1">AVERAGE(OFFSET($R$3,0,0,'Données projet'!$E$9+1,1))-AVERAGE(OFFSET($H$3,0,0,'Données projet'!$E$9+1,1))</f>
        <v>252.28378247570731</v>
      </c>
      <c r="T131" s="59">
        <f t="shared" si="88"/>
        <v>263.50418595307343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4.2154200819758527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7.1695475482863881E-14</v>
      </c>
      <c r="AC131" s="22">
        <f t="shared" si="57"/>
        <v>4.2154200819759247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3.2</v>
      </c>
      <c r="AI131" s="13">
        <f>IF('Données projet'!$A$62&gt;35,AI130+AH131-AQ130,IF(A131&lt;'Données projet'!$A$62,$AF$205^A131,IF(A131='Données projet'!$A$62,'Données projet'!$B$62,AI130+AH131-AQ130)))</f>
        <v>292.60000000000002</v>
      </c>
      <c r="AJ131" s="13">
        <f>AI131*VLOOKUP('Données projet'!$B$10,Paramètres!$A$1:$I$89,3,0)*VLOOKUP('Données projet'!$B$10,Paramètres!$A$1:$I$89,5,0)</f>
        <v>246.48624000000004</v>
      </c>
      <c r="AK131" s="13">
        <f t="shared" si="89"/>
        <v>59.832903308291236</v>
      </c>
      <c r="AL131" s="20">
        <f t="shared" si="58"/>
        <v>533.50584126194053</v>
      </c>
      <c r="AM131" s="59">
        <f t="shared" si="59"/>
        <v>826.83917459527379</v>
      </c>
      <c r="AN131" s="59">
        <f ca="1">AVERAGE(OFFSET($AM$3,0,0,'Données projet'!$E$10+1,1))-AVERAGE(OFFSET($H$3,0,0,'Données projet'!$E$10+1,1))</f>
        <v>276.71735592065937</v>
      </c>
      <c r="AO131" s="59">
        <f t="shared" si="90"/>
        <v>159.98571289571038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27.779275057360493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27.779275057360493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2.7193891583010558E-13</v>
      </c>
      <c r="P132" s="13">
        <f t="shared" si="87"/>
        <v>3.6362267729089988E-12</v>
      </c>
      <c r="Q132" s="20">
        <f t="shared" si="108"/>
        <v>6.8067219078872727E-12</v>
      </c>
      <c r="R132" s="59">
        <f t="shared" si="109"/>
        <v>293.33333333334014</v>
      </c>
      <c r="S132" s="59">
        <f ca="1">AVERAGE(OFFSET($R$3,0,0,'Données projet'!$E$9+1,1))-AVERAGE(OFFSET($H$3,0,0,'Données projet'!$E$9+1,1))</f>
        <v>252.28378247570731</v>
      </c>
      <c r="T132" s="59">
        <f t="shared" si="88"/>
        <v>263.50418595307343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4.1327582653206765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5.0696356894326914E-14</v>
      </c>
      <c r="AC132" s="22">
        <f t="shared" ref="AC132:AC153" si="111">SUM(Z132:AB132)</f>
        <v>4.1327582653207271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3.2</v>
      </c>
      <c r="AI132" s="13">
        <f>IF('Données projet'!$A$62&gt;35,AI131+AH132-AQ131,IF(A132&lt;'Données projet'!$A$62,$AF$205^A132,IF(A132='Données projet'!$A$62,'Données projet'!$B$62,AI131+AH132-AQ131)))</f>
        <v>295.8</v>
      </c>
      <c r="AJ132" s="13">
        <f>AI132*VLOOKUP('Données projet'!$B$10,Paramètres!$A$1:$I$89,3,0)*VLOOKUP('Données projet'!$B$10,Paramètres!$A$1:$I$89,5,0)</f>
        <v>249.18192000000005</v>
      </c>
      <c r="AK132" s="13">
        <f t="shared" si="89"/>
        <v>60.410727929515595</v>
      </c>
      <c r="AL132" s="20">
        <f t="shared" ref="AL132:AL153" si="112">(AJ132+AK132)*0.475*44/12</f>
        <v>539.20719514390646</v>
      </c>
      <c r="AM132" s="59">
        <f t="shared" ref="AM132:AM195" si="113">AL132+(AD132+AE132)*44/12</f>
        <v>832.54052847723983</v>
      </c>
      <c r="AN132" s="59">
        <f ca="1">AVERAGE(OFFSET($AM$3,0,0,'Données projet'!$E$10+1,1))-AVERAGE(OFFSET($H$3,0,0,'Données projet'!$E$10+1,1))</f>
        <v>276.71735592065937</v>
      </c>
      <c r="AO132" s="59">
        <f t="shared" si="90"/>
        <v>159.98571289571038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27.23454041717039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27.23454041717039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2.7193891583010558E-13</v>
      </c>
      <c r="P133" s="13">
        <f t="shared" ref="P133:P196" si="141">EXP(-1.0587+0.8836*LN(O133)+0.284)</f>
        <v>3.6362267729089988E-12</v>
      </c>
      <c r="Q133" s="20">
        <f t="shared" si="108"/>
        <v>6.8067219078872727E-12</v>
      </c>
      <c r="R133" s="59">
        <f t="shared" si="109"/>
        <v>293.33333333334014</v>
      </c>
      <c r="S133" s="59">
        <f ca="1">AVERAGE(OFFSET($R$3,0,0,'Données projet'!$E$9+1,1))-AVERAGE(OFFSET($H$3,0,0,'Données projet'!$E$9+1,1))</f>
        <v>252.28378247570731</v>
      </c>
      <c r="T133" s="59">
        <f t="shared" ref="T133:T196" si="142">$T$3</f>
        <v>263.50418595307343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4.0517173964713784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3.5847737741431941E-14</v>
      </c>
      <c r="AC133" s="22">
        <f t="shared" si="111"/>
        <v>4.0517173964714139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299</v>
      </c>
      <c r="AG133" s="12">
        <f>VLOOKUP(A133,'Données projet'!$A$61:$I$81,9,0)</f>
        <v>3.2</v>
      </c>
      <c r="AH133" s="12">
        <f t="array" ref="AH133">INDEX(AG:AG,MIN(IF(ISNUMBER(AG133:AG329),ROW(AG133:AG329),"")))</f>
        <v>3.2</v>
      </c>
      <c r="AI133" s="13">
        <f>IF('Données projet'!$A$62&gt;35,AI132+AH133-AQ132,IF(A133&lt;'Données projet'!$A$62,$AF$205^A133,IF(A133='Données projet'!$A$62,'Données projet'!$B$62,AI132+AH133-AQ132)))</f>
        <v>299</v>
      </c>
      <c r="AJ133" s="13">
        <f>AI133*VLOOKUP('Données projet'!$B$10,Paramètres!$A$1:$I$89,3,0)*VLOOKUP('Données projet'!$B$10,Paramètres!$A$1:$I$89,5,0)</f>
        <v>251.87760000000003</v>
      </c>
      <c r="AK133" s="13">
        <f t="shared" ref="AK133:AK153" si="143">EXP(-1.0587+0.8836*LN(AJ133)+0.284)</f>
        <v>60.987825380023075</v>
      </c>
      <c r="AL133" s="20">
        <f t="shared" si="112"/>
        <v>544.90728253687359</v>
      </c>
      <c r="AM133" s="59">
        <f t="shared" si="113"/>
        <v>838.24061587020697</v>
      </c>
      <c r="AN133" s="59">
        <f ca="1">AVERAGE(OFFSET($AM$3,0,0,'Données projet'!$E$10+1,1))-AVERAGE(OFFSET($H$3,0,0,'Données projet'!$E$10+1,1))</f>
        <v>276.71735592065937</v>
      </c>
      <c r="AO133" s="59">
        <f t="shared" ref="AO133:AO196" si="144">$AO$3</f>
        <v>159.98571289571038</v>
      </c>
      <c r="AP133" s="15">
        <f>IF(ISNA(VLOOKUP(A133,'Données projet'!$A$61:$I$81,3,0)),0,VLOOKUP(A133,'Données projet'!$A$61:$I$81,3,0))</f>
        <v>12</v>
      </c>
      <c r="AQ133" s="15">
        <f>IF(ISNA(VLOOKUP(A133,'Données projet'!$A$61:$I$81,4,0)),0,VLOOKUP(A133,'Données projet'!$A$61:$I$81,4,0))</f>
        <v>31</v>
      </c>
      <c r="AR133" s="16">
        <f>IF(ISNA(VLOOKUP(A133,'Données projet'!$A$61:$I$81,5,0)),0%,VLOOKUP(A133,'Données projet'!$A$61:$I$81,5,0)*VLOOKUP('Données projet'!$B$10,Paramètres!$A$1:$I$89,7,0))</f>
        <v>0.43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39.114026833107459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39.114026833107459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2.7193891583010558E-13</v>
      </c>
      <c r="P134" s="13">
        <f t="shared" si="141"/>
        <v>3.6362267729089988E-12</v>
      </c>
      <c r="Q134" s="20">
        <f t="shared" si="108"/>
        <v>6.8067219078872727E-12</v>
      </c>
      <c r="R134" s="59">
        <f t="shared" si="109"/>
        <v>293.33333333334014</v>
      </c>
      <c r="S134" s="59">
        <f ca="1">AVERAGE(OFFSET($R$3,0,0,'Données projet'!$E$9+1,1))-AVERAGE(OFFSET($H$3,0,0,'Données projet'!$E$9+1,1))</f>
        <v>252.28378247570731</v>
      </c>
      <c r="T134" s="59">
        <f t="shared" si="142"/>
        <v>263.50418595307343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3.9722656896301656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2.5348178447163457E-14</v>
      </c>
      <c r="AC134" s="22">
        <f t="shared" si="111"/>
        <v>3.9722656896301909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2.8</v>
      </c>
      <c r="AI134" s="13">
        <f>IF('Données projet'!$A$62&gt;35,AI133+AH134-AQ133,IF(A134&lt;'Données projet'!$A$62,$AF$205^A134,IF(A134='Données projet'!$A$62,'Données projet'!$B$62,AI133+AH134-AQ133)))</f>
        <v>270.8</v>
      </c>
      <c r="AJ134" s="13">
        <f>AI134*VLOOKUP('Données projet'!$B$10,Paramètres!$A$1:$I$89,3,0)*VLOOKUP('Données projet'!$B$10,Paramètres!$A$1:$I$89,5,0)</f>
        <v>228.12192000000005</v>
      </c>
      <c r="AK134" s="13">
        <f t="shared" si="143"/>
        <v>55.876403150577609</v>
      </c>
      <c r="AL134" s="20">
        <f t="shared" si="112"/>
        <v>494.63041282058947</v>
      </c>
      <c r="AM134" s="59">
        <f t="shared" si="113"/>
        <v>787.96374615392278</v>
      </c>
      <c r="AN134" s="59">
        <f ca="1">AVERAGE(OFFSET($AM$3,0,0,'Données projet'!$E$10+1,1))-AVERAGE(OFFSET($H$3,0,0,'Données projet'!$E$10+1,1))</f>
        <v>276.71735592065937</v>
      </c>
      <c r="AO134" s="59">
        <f t="shared" si="144"/>
        <v>159.98571289571038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38.347024624110887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38.347024624110887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2.7193891583010558E-13</v>
      </c>
      <c r="P135" s="13">
        <f t="shared" si="141"/>
        <v>3.6362267729089988E-12</v>
      </c>
      <c r="Q135" s="20">
        <f t="shared" si="108"/>
        <v>6.8067219078872727E-12</v>
      </c>
      <c r="R135" s="59">
        <f t="shared" si="109"/>
        <v>293.33333333334014</v>
      </c>
      <c r="S135" s="59">
        <f ca="1">AVERAGE(OFFSET($R$3,0,0,'Données projet'!$E$9+1,1))-AVERAGE(OFFSET($H$3,0,0,'Données projet'!$E$9+1,1))</f>
        <v>252.28378247570731</v>
      </c>
      <c r="T135" s="59">
        <f t="shared" si="142"/>
        <v>263.50418595307343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3.894371982299353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1.792386887071597E-14</v>
      </c>
      <c r="AC135" s="22">
        <f t="shared" si="111"/>
        <v>3.8943719822993708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2.8</v>
      </c>
      <c r="AI135" s="13">
        <f>IF('Données projet'!$A$62&gt;35,AI134+AH135-AQ134,IF(A135&lt;'Données projet'!$A$62,$AF$205^A135,IF(A135='Données projet'!$A$62,'Données projet'!$B$62,AI134+AH135-AQ134)))</f>
        <v>273.60000000000002</v>
      </c>
      <c r="AJ135" s="13">
        <f>AI135*VLOOKUP('Données projet'!$B$10,Paramètres!$A$1:$I$89,3,0)*VLOOKUP('Données projet'!$B$10,Paramètres!$A$1:$I$89,5,0)</f>
        <v>230.48064000000005</v>
      </c>
      <c r="AK135" s="13">
        <f t="shared" si="143"/>
        <v>56.386594506599792</v>
      </c>
      <c r="AL135" s="20">
        <f t="shared" si="112"/>
        <v>499.62710009899473</v>
      </c>
      <c r="AM135" s="59">
        <f t="shared" si="113"/>
        <v>792.96043343232805</v>
      </c>
      <c r="AN135" s="59">
        <f ca="1">AVERAGE(OFFSET($AM$3,0,0,'Données projet'!$E$10+1,1))-AVERAGE(OFFSET($H$3,0,0,'Données projet'!$E$10+1,1))</f>
        <v>276.71735592065937</v>
      </c>
      <c r="AO135" s="59">
        <f t="shared" si="144"/>
        <v>159.98571289571038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37.595062860607584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37.595062860607584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2.7193891583010558E-13</v>
      </c>
      <c r="P136" s="13">
        <f t="shared" si="141"/>
        <v>3.6362267729089988E-12</v>
      </c>
      <c r="Q136" s="20">
        <f t="shared" si="108"/>
        <v>6.8067219078872727E-12</v>
      </c>
      <c r="R136" s="59">
        <f t="shared" si="109"/>
        <v>293.33333333334014</v>
      </c>
      <c r="S136" s="59">
        <f ca="1">AVERAGE(OFFSET($R$3,0,0,'Données projet'!$E$9+1,1))-AVERAGE(OFFSET($H$3,0,0,'Données projet'!$E$9+1,1))</f>
        <v>252.28378247570731</v>
      </c>
      <c r="T136" s="59">
        <f t="shared" si="142"/>
        <v>263.50418595307343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3.8180057230588273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1.2674089223581728E-14</v>
      </c>
      <c r="AC136" s="22">
        <f t="shared" si="111"/>
        <v>3.8180057230588402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2.8</v>
      </c>
      <c r="AI136" s="13">
        <f>IF('Données projet'!$A$62&gt;35,AI135+AH136-AQ135,IF(A136&lt;'Données projet'!$A$62,$AF$205^A136,IF(A136='Données projet'!$A$62,'Données projet'!$B$62,AI135+AH136-AQ135)))</f>
        <v>276.40000000000003</v>
      </c>
      <c r="AJ136" s="13">
        <f>AI136*VLOOKUP('Données projet'!$B$10,Paramètres!$A$1:$I$89,3,0)*VLOOKUP('Données projet'!$B$10,Paramètres!$A$1:$I$89,5,0)</f>
        <v>232.83936000000006</v>
      </c>
      <c r="AK136" s="13">
        <f t="shared" si="143"/>
        <v>56.896178458987599</v>
      </c>
      <c r="AL136" s="20">
        <f t="shared" si="112"/>
        <v>504.62272948273682</v>
      </c>
      <c r="AM136" s="59">
        <f t="shared" si="113"/>
        <v>797.95606281607013</v>
      </c>
      <c r="AN136" s="59">
        <f ca="1">AVERAGE(OFFSET($AM$3,0,0,'Données projet'!$E$10+1,1))-AVERAGE(OFFSET($H$3,0,0,'Données projet'!$E$10+1,1))</f>
        <v>276.71735592065937</v>
      </c>
      <c r="AO136" s="59">
        <f t="shared" si="144"/>
        <v>159.98571289571038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36.857846608635192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36.857846608635192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2.7193891583010558E-13</v>
      </c>
      <c r="P137" s="13">
        <f t="shared" si="141"/>
        <v>3.6362267729089988E-12</v>
      </c>
      <c r="Q137" s="20">
        <f t="shared" si="108"/>
        <v>6.8067219078872727E-12</v>
      </c>
      <c r="R137" s="59">
        <f t="shared" si="109"/>
        <v>293.33333333334014</v>
      </c>
      <c r="S137" s="59">
        <f ca="1">AVERAGE(OFFSET($R$3,0,0,'Données projet'!$E$9+1,1))-AVERAGE(OFFSET($H$3,0,0,'Données projet'!$E$9+1,1))</f>
        <v>252.28378247570731</v>
      </c>
      <c r="T137" s="59">
        <f t="shared" si="142"/>
        <v>263.50418595307343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3.7431369595831896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8.9619344353579851E-15</v>
      </c>
      <c r="AC137" s="22">
        <f t="shared" si="111"/>
        <v>3.7431369595831985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2.8</v>
      </c>
      <c r="AI137" s="13">
        <f>IF('Données projet'!$A$62&gt;35,AI136+AH137-AQ136,IF(A137&lt;'Données projet'!$A$62,$AF$205^A137,IF(A137='Données projet'!$A$62,'Données projet'!$B$62,AI136+AH137-AQ136)))</f>
        <v>279.20000000000005</v>
      </c>
      <c r="AJ137" s="13">
        <f>AI137*VLOOKUP('Données projet'!$B$10,Paramètres!$A$1:$I$89,3,0)*VLOOKUP('Données projet'!$B$10,Paramètres!$A$1:$I$89,5,0)</f>
        <v>235.19808000000006</v>
      </c>
      <c r="AK137" s="13">
        <f t="shared" si="143"/>
        <v>57.40516187330315</v>
      </c>
      <c r="AL137" s="20">
        <f t="shared" si="112"/>
        <v>509.61731292933638</v>
      </c>
      <c r="AM137" s="59">
        <f t="shared" si="113"/>
        <v>802.95064626266969</v>
      </c>
      <c r="AN137" s="59">
        <f ca="1">AVERAGE(OFFSET($AM$3,0,0,'Données projet'!$E$10+1,1))-AVERAGE(OFFSET($H$3,0,0,'Données projet'!$E$10+1,1))</f>
        <v>276.71735592065937</v>
      </c>
      <c r="AO137" s="59">
        <f t="shared" si="144"/>
        <v>159.98571289571038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36.135086717706464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36.135086717706464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2.7193891583010558E-13</v>
      </c>
      <c r="P138" s="13">
        <f t="shared" si="141"/>
        <v>3.6362267729089988E-12</v>
      </c>
      <c r="Q138" s="20">
        <f t="shared" si="108"/>
        <v>6.8067219078872727E-12</v>
      </c>
      <c r="R138" s="59">
        <f t="shared" si="109"/>
        <v>293.33333333334014</v>
      </c>
      <c r="S138" s="59">
        <f ca="1">AVERAGE(OFFSET($R$3,0,0,'Données projet'!$E$9+1,1))-AVERAGE(OFFSET($H$3,0,0,'Données projet'!$E$9+1,1))</f>
        <v>252.28378247570731</v>
      </c>
      <c r="T138" s="59">
        <f t="shared" si="142"/>
        <v>263.50418595307343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3.6697363268938723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6.3370446117908642E-15</v>
      </c>
      <c r="AC138" s="22">
        <f t="shared" si="111"/>
        <v>3.6697363268938785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2.8</v>
      </c>
      <c r="AI138" s="13">
        <f>IF('Données projet'!$A$62&gt;35,AI137+AH138-AQ137,IF(A138&lt;'Données projet'!$A$62,$AF$205^A138,IF(A138='Données projet'!$A$62,'Données projet'!$B$62,AI137+AH138-AQ137)))</f>
        <v>282.00000000000006</v>
      </c>
      <c r="AJ138" s="13">
        <f>AI138*VLOOKUP('Données projet'!$B$10,Paramètres!$A$1:$I$89,3,0)*VLOOKUP('Données projet'!$B$10,Paramètres!$A$1:$I$89,5,0)</f>
        <v>237.55680000000007</v>
      </c>
      <c r="AK138" s="13">
        <f t="shared" si="143"/>
        <v>57.913551469467357</v>
      </c>
      <c r="AL138" s="20">
        <f t="shared" si="112"/>
        <v>514.61086214265572</v>
      </c>
      <c r="AM138" s="59">
        <f t="shared" si="113"/>
        <v>807.94419547598909</v>
      </c>
      <c r="AN138" s="59">
        <f ca="1">AVERAGE(OFFSET($AM$3,0,0,'Données projet'!$E$10+1,1))-AVERAGE(OFFSET($H$3,0,0,'Données projet'!$E$10+1,1))</f>
        <v>276.71735592065937</v>
      </c>
      <c r="AO138" s="59">
        <f t="shared" si="144"/>
        <v>159.98571289571038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35.426499707398847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35.426499707398847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2.7193891583010558E-13</v>
      </c>
      <c r="P139" s="13">
        <f t="shared" si="141"/>
        <v>3.6362267729089988E-12</v>
      </c>
      <c r="Q139" s="20">
        <f t="shared" si="108"/>
        <v>6.8067219078872727E-12</v>
      </c>
      <c r="R139" s="59">
        <f t="shared" si="109"/>
        <v>293.33333333334014</v>
      </c>
      <c r="S139" s="59">
        <f ca="1">AVERAGE(OFFSET($R$3,0,0,'Données projet'!$E$9+1,1))-AVERAGE(OFFSET($H$3,0,0,'Données projet'!$E$9+1,1))</f>
        <v>252.28378247570731</v>
      </c>
      <c r="T139" s="59">
        <f t="shared" si="142"/>
        <v>263.50418595307343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3.5977750358416274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4.4809672176789926E-15</v>
      </c>
      <c r="AC139" s="22">
        <f t="shared" si="111"/>
        <v>3.5977750358416318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2.8</v>
      </c>
      <c r="AI139" s="13">
        <f>IF('Données projet'!$A$62&gt;35,AI138+AH139-AQ138,IF(A139&lt;'Données projet'!$A$62,$AF$205^A139,IF(A139='Données projet'!$A$62,'Données projet'!$B$62,AI138+AH139-AQ138)))</f>
        <v>284.80000000000007</v>
      </c>
      <c r="AJ139" s="13">
        <f>AI139*VLOOKUP('Données projet'!$B$10,Paramètres!$A$1:$I$89,3,0)*VLOOKUP('Données projet'!$B$10,Paramètres!$A$1:$I$89,5,0)</f>
        <v>239.9155200000001</v>
      </c>
      <c r="AK139" s="13">
        <f t="shared" si="143"/>
        <v>58.421353826263946</v>
      </c>
      <c r="AL139" s="20">
        <f t="shared" si="112"/>
        <v>519.60338858074317</v>
      </c>
      <c r="AM139" s="59">
        <f t="shared" si="113"/>
        <v>812.93672191407654</v>
      </c>
      <c r="AN139" s="59">
        <f ca="1">AVERAGE(OFFSET($AM$3,0,0,'Données projet'!$E$10+1,1))-AVERAGE(OFFSET($H$3,0,0,'Données projet'!$E$10+1,1))</f>
        <v>276.71735592065937</v>
      </c>
      <c r="AO139" s="59">
        <f t="shared" si="144"/>
        <v>159.98571289571038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34.731807656167959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34.731807656167959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2.7193891583010558E-13</v>
      </c>
      <c r="P140" s="13">
        <f t="shared" si="141"/>
        <v>3.6362267729089988E-12</v>
      </c>
      <c r="Q140" s="20">
        <f t="shared" si="108"/>
        <v>6.8067219078872727E-12</v>
      </c>
      <c r="R140" s="59">
        <f t="shared" si="109"/>
        <v>293.33333333334014</v>
      </c>
      <c r="S140" s="59">
        <f ca="1">AVERAGE(OFFSET($R$3,0,0,'Données projet'!$E$9+1,1))-AVERAGE(OFFSET($H$3,0,0,'Données projet'!$E$9+1,1))</f>
        <v>252.28378247570731</v>
      </c>
      <c r="T140" s="59">
        <f t="shared" si="142"/>
        <v>263.50418595307343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3.5272248618148634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3.1685223058954321E-15</v>
      </c>
      <c r="AC140" s="22">
        <f t="shared" si="111"/>
        <v>3.5272248618148665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2.8</v>
      </c>
      <c r="AI140" s="13">
        <f>IF('Données projet'!$A$62&gt;35,AI139+AH140-AQ139,IF(A140&lt;'Données projet'!$A$62,$AF$205^A140,IF(A140='Données projet'!$A$62,'Données projet'!$B$62,AI139+AH140-AQ139)))</f>
        <v>287.60000000000008</v>
      </c>
      <c r="AJ140" s="13">
        <f>AI140*VLOOKUP('Données projet'!$B$10,Paramètres!$A$1:$I$89,3,0)*VLOOKUP('Données projet'!$B$10,Paramètres!$A$1:$I$89,5,0)</f>
        <v>242.27424000000011</v>
      </c>
      <c r="AK140" s="13">
        <f t="shared" si="143"/>
        <v>58.928575385661709</v>
      </c>
      <c r="AL140" s="20">
        <f t="shared" si="112"/>
        <v>524.59490346336099</v>
      </c>
      <c r="AM140" s="59">
        <f t="shared" si="113"/>
        <v>817.92823679669436</v>
      </c>
      <c r="AN140" s="59">
        <f ca="1">AVERAGE(OFFSET($AM$3,0,0,'Données projet'!$E$10+1,1))-AVERAGE(OFFSET($H$3,0,0,'Données projet'!$E$10+1,1))</f>
        <v>276.71735592065937</v>
      </c>
      <c r="AO140" s="59">
        <f t="shared" si="144"/>
        <v>159.98571289571038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34.050738092341398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34.050738092341398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2.7193891583010558E-13</v>
      </c>
      <c r="P141" s="13">
        <f t="shared" si="141"/>
        <v>3.6362267729089988E-12</v>
      </c>
      <c r="Q141" s="20">
        <f t="shared" si="108"/>
        <v>6.8067219078872727E-12</v>
      </c>
      <c r="R141" s="59">
        <f t="shared" si="109"/>
        <v>293.33333333334014</v>
      </c>
      <c r="S141" s="59">
        <f ca="1">AVERAGE(OFFSET($R$3,0,0,'Données projet'!$E$9+1,1))-AVERAGE(OFFSET($H$3,0,0,'Données projet'!$E$9+1,1))</f>
        <v>252.28378247570731</v>
      </c>
      <c r="T141" s="59">
        <f t="shared" si="142"/>
        <v>263.50418595307343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3.458058133669407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2.2404836088394963E-15</v>
      </c>
      <c r="AC141" s="22">
        <f t="shared" si="111"/>
        <v>3.4580581336694092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2.8</v>
      </c>
      <c r="AI141" s="13">
        <f>IF('Données projet'!$A$62&gt;35,AI140+AH141-AQ140,IF(A141&lt;'Données projet'!$A$62,$AF$205^A141,IF(A141='Données projet'!$A$62,'Données projet'!$B$62,AI140+AH141-AQ140)))</f>
        <v>290.40000000000009</v>
      </c>
      <c r="AJ141" s="13">
        <f>AI141*VLOOKUP('Données projet'!$B$10,Paramètres!$A$1:$I$89,3,0)*VLOOKUP('Données projet'!$B$10,Paramètres!$A$1:$I$89,5,0)</f>
        <v>244.63296000000011</v>
      </c>
      <c r="AK141" s="13">
        <f t="shared" si="143"/>
        <v>59.435222456963338</v>
      </c>
      <c r="AL141" s="20">
        <f t="shared" si="112"/>
        <v>529.5854177792113</v>
      </c>
      <c r="AM141" s="59">
        <f t="shared" si="113"/>
        <v>822.91875111254467</v>
      </c>
      <c r="AN141" s="59">
        <f ca="1">AVERAGE(OFFSET($AM$3,0,0,'Données projet'!$E$10+1,1))-AVERAGE(OFFSET($H$3,0,0,'Données projet'!$E$10+1,1))</f>
        <v>276.71735592065937</v>
      </c>
      <c r="AO141" s="59">
        <f t="shared" si="144"/>
        <v>159.98571289571038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33.383023887250062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33.383023887250062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2.7193891583010558E-13</v>
      </c>
      <c r="P142" s="13">
        <f t="shared" si="141"/>
        <v>3.6362267729089988E-12</v>
      </c>
      <c r="Q142" s="20">
        <f t="shared" si="108"/>
        <v>6.8067219078872727E-12</v>
      </c>
      <c r="R142" s="59">
        <f t="shared" si="109"/>
        <v>293.33333333334014</v>
      </c>
      <c r="S142" s="59">
        <f ca="1">AVERAGE(OFFSET($R$3,0,0,'Données projet'!$E$9+1,1))-AVERAGE(OFFSET($H$3,0,0,'Données projet'!$E$9+1,1))</f>
        <v>252.28378247570731</v>
      </c>
      <c r="T142" s="59">
        <f t="shared" si="142"/>
        <v>263.50418595307343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3.3902477228753445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1.5842611529477161E-15</v>
      </c>
      <c r="AC142" s="22">
        <f t="shared" si="111"/>
        <v>3.3902477228753463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2.8</v>
      </c>
      <c r="AI142" s="13">
        <f>IF('Données projet'!$A$62&gt;35,AI141+AH142-AQ141,IF(A142&lt;'Données projet'!$A$62,$AF$205^A142,IF(A142='Données projet'!$A$62,'Données projet'!$B$62,AI141+AH142-AQ141)))</f>
        <v>293.2000000000001</v>
      </c>
      <c r="AJ142" s="13">
        <f>AI142*VLOOKUP('Données projet'!$B$10,Paramètres!$A$1:$I$89,3,0)*VLOOKUP('Données projet'!$B$10,Paramètres!$A$1:$I$89,5,0)</f>
        <v>246.99168000000009</v>
      </c>
      <c r="AK142" s="13">
        <f t="shared" si="143"/>
        <v>59.941301220789747</v>
      </c>
      <c r="AL142" s="20">
        <f t="shared" si="112"/>
        <v>534.57494229287556</v>
      </c>
      <c r="AM142" s="59">
        <f t="shared" si="113"/>
        <v>827.90827562620893</v>
      </c>
      <c r="AN142" s="59">
        <f ca="1">AVERAGE(OFFSET($AM$3,0,0,'Données projet'!$E$10+1,1))-AVERAGE(OFFSET($H$3,0,0,'Données projet'!$E$10+1,1))</f>
        <v>276.71735592065937</v>
      </c>
      <c r="AO142" s="59">
        <f t="shared" si="144"/>
        <v>159.98571289571038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32.728403150455115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32.728403150455115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2.7193891583010558E-13</v>
      </c>
      <c r="P143" s="13">
        <f t="shared" si="141"/>
        <v>3.6362267729089988E-12</v>
      </c>
      <c r="Q143" s="20">
        <f t="shared" si="108"/>
        <v>6.8067219078872727E-12</v>
      </c>
      <c r="R143" s="59">
        <f t="shared" si="109"/>
        <v>293.33333333334014</v>
      </c>
      <c r="S143" s="59">
        <f ca="1">AVERAGE(OFFSET($R$3,0,0,'Données projet'!$E$9+1,1))-AVERAGE(OFFSET($H$3,0,0,'Données projet'!$E$9+1,1))</f>
        <v>252.28378247570731</v>
      </c>
      <c r="T143" s="59">
        <f t="shared" si="142"/>
        <v>263.50418595307343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3.3237670328766868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1.1202418044197481E-15</v>
      </c>
      <c r="AC143" s="22">
        <f t="shared" si="111"/>
        <v>3.3237670328766882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296</v>
      </c>
      <c r="AG143" s="12">
        <f>VLOOKUP(A143,'Données projet'!$A$61:$I$81,9,0)</f>
        <v>2.8</v>
      </c>
      <c r="AH143" s="12">
        <f t="array" ref="AH143">INDEX(AG:AG,MIN(IF(ISNUMBER(AG143:AG339),ROW(AG143:AG339),"")))</f>
        <v>2.8</v>
      </c>
      <c r="AI143" s="13">
        <f>IF('Données projet'!$A$62&gt;35,AI142+AH143-AQ142,IF(A143&lt;'Données projet'!$A$62,$AF$205^A143,IF(A143='Données projet'!$A$62,'Données projet'!$B$62,AI142+AH143-AQ142)))</f>
        <v>296.00000000000011</v>
      </c>
      <c r="AJ143" s="13">
        <f>AI143*VLOOKUP('Données projet'!$B$10,Paramètres!$A$1:$I$89,3,0)*VLOOKUP('Données projet'!$B$10,Paramètres!$A$1:$I$89,5,0)</f>
        <v>249.35040000000009</v>
      </c>
      <c r="AK143" s="13">
        <f t="shared" si="143"/>
        <v>60.446817732908215</v>
      </c>
      <c r="AL143" s="20">
        <f t="shared" si="112"/>
        <v>539.5634875514819</v>
      </c>
      <c r="AM143" s="59">
        <f t="shared" si="113"/>
        <v>832.89682088481527</v>
      </c>
      <c r="AN143" s="59">
        <f ca="1">AVERAGE(OFFSET($AM$3,0,0,'Données projet'!$E$10+1,1))-AVERAGE(OFFSET($H$3,0,0,'Données projet'!$E$10+1,1))</f>
        <v>276.71735592065937</v>
      </c>
      <c r="AO143" s="59">
        <f t="shared" si="144"/>
        <v>159.98571289571038</v>
      </c>
      <c r="AP143" s="15">
        <f>IF(ISNA(VLOOKUP(A143,'Données projet'!$A$61:$I$81,3,0)),0,VLOOKUP(A143,'Données projet'!$A$61:$I$81,3,0))</f>
        <v>13</v>
      </c>
      <c r="AQ143" s="15">
        <f>IF(ISNA(VLOOKUP(A143,'Données projet'!$A$61:$I$81,4,0)),0,VLOOKUP(A143,'Données projet'!$A$61:$I$81,4,0))</f>
        <v>27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32.086619127029493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32.086619127029493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2.7193891583010558E-13</v>
      </c>
      <c r="P144" s="13">
        <f t="shared" si="141"/>
        <v>3.6362267729089988E-12</v>
      </c>
      <c r="Q144" s="20">
        <f t="shared" si="108"/>
        <v>6.8067219078872727E-12</v>
      </c>
      <c r="R144" s="59">
        <f t="shared" si="109"/>
        <v>293.33333333334014</v>
      </c>
      <c r="S144" s="59">
        <f ca="1">AVERAGE(OFFSET($R$3,0,0,'Données projet'!$E$9+1,1))-AVERAGE(OFFSET($H$3,0,0,'Données projet'!$E$9+1,1))</f>
        <v>252.28378247570731</v>
      </c>
      <c r="T144" s="59">
        <f t="shared" si="142"/>
        <v>263.50418595307343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3.2585899886596859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7.9213057647385803E-16</v>
      </c>
      <c r="AC144" s="22">
        <f t="shared" si="111"/>
        <v>3.2585899886596867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2.2999999999999998</v>
      </c>
      <c r="AI144" s="13">
        <f>IF('Données projet'!$A$62&gt;35,AI143+AH144-AQ143,IF(A144&lt;'Données projet'!$A$62,$AF$205^A144,IF(A144='Données projet'!$A$62,'Données projet'!$B$62,AI143+AH144-AQ143)))</f>
        <v>271.30000000000013</v>
      </c>
      <c r="AJ144" s="13">
        <f>AI144*VLOOKUP('Données projet'!$B$10,Paramètres!$A$1:$I$89,3,0)*VLOOKUP('Données projet'!$B$10,Paramètres!$A$1:$I$89,5,0)</f>
        <v>228.5431200000001</v>
      </c>
      <c r="AK144" s="13">
        <f t="shared" si="143"/>
        <v>55.9675536083681</v>
      </c>
      <c r="AL144" s="20">
        <f t="shared" si="112"/>
        <v>495.52275653457463</v>
      </c>
      <c r="AM144" s="59">
        <f t="shared" si="113"/>
        <v>788.85608986790794</v>
      </c>
      <c r="AN144" s="59">
        <f ca="1">AVERAGE(OFFSET($AM$3,0,0,'Données projet'!$E$10+1,1))-AVERAGE(OFFSET($H$3,0,0,'Données projet'!$E$10+1,1))</f>
        <v>276.71735592065937</v>
      </c>
      <c r="AO144" s="59">
        <f t="shared" si="144"/>
        <v>159.98571289571038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31.457420096853646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31.457420096853646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2.7193891583010558E-13</v>
      </c>
      <c r="P145" s="13">
        <f t="shared" si="141"/>
        <v>3.6362267729089988E-12</v>
      </c>
      <c r="Q145" s="20">
        <f t="shared" si="108"/>
        <v>6.8067219078872727E-12</v>
      </c>
      <c r="R145" s="59">
        <f t="shared" si="109"/>
        <v>293.33333333334014</v>
      </c>
      <c r="S145" s="59">
        <f ca="1">AVERAGE(OFFSET($R$3,0,0,'Données projet'!$E$9+1,1))-AVERAGE(OFFSET($H$3,0,0,'Données projet'!$E$9+1,1))</f>
        <v>252.28378247570731</v>
      </c>
      <c r="T145" s="59">
        <f t="shared" si="142"/>
        <v>263.50418595307343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3.1946910265257089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5.6012090220987407E-16</v>
      </c>
      <c r="AC145" s="22">
        <f t="shared" si="111"/>
        <v>3.1946910265257094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2.2999999999999998</v>
      </c>
      <c r="AI145" s="13">
        <f>IF('Données projet'!$A$62&gt;35,AI144+AH145-AQ144,IF(A145&lt;'Données projet'!$A$62,$AF$205^A145,IF(A145='Données projet'!$A$62,'Données projet'!$B$62,AI144+AH145-AQ144)))</f>
        <v>273.60000000000014</v>
      </c>
      <c r="AJ145" s="13">
        <f>AI145*VLOOKUP('Données projet'!$B$10,Paramètres!$A$1:$I$89,3,0)*VLOOKUP('Données projet'!$B$10,Paramètres!$A$1:$I$89,5,0)</f>
        <v>230.48064000000014</v>
      </c>
      <c r="AK145" s="13">
        <f t="shared" si="143"/>
        <v>56.386594506599792</v>
      </c>
      <c r="AL145" s="20">
        <f t="shared" si="112"/>
        <v>499.62710009899484</v>
      </c>
      <c r="AM145" s="59">
        <f t="shared" si="113"/>
        <v>792.96043343232816</v>
      </c>
      <c r="AN145" s="59">
        <f ca="1">AVERAGE(OFFSET($AM$3,0,0,'Données projet'!$E$10+1,1))-AVERAGE(OFFSET($H$3,0,0,'Données projet'!$E$10+1,1))</f>
        <v>276.71735592065937</v>
      </c>
      <c r="AO145" s="59">
        <f t="shared" si="144"/>
        <v>159.98571289571038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30.840559275886033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30.840559275886033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2.7193891583010558E-13</v>
      </c>
      <c r="P146" s="13">
        <f t="shared" si="141"/>
        <v>3.6362267729089988E-12</v>
      </c>
      <c r="Q146" s="20">
        <f t="shared" si="108"/>
        <v>6.8067219078872727E-12</v>
      </c>
      <c r="R146" s="59">
        <f t="shared" si="109"/>
        <v>293.33333333334014</v>
      </c>
      <c r="S146" s="59">
        <f ca="1">AVERAGE(OFFSET($R$3,0,0,'Données projet'!$E$9+1,1))-AVERAGE(OFFSET($H$3,0,0,'Données projet'!$E$9+1,1))</f>
        <v>252.28378247570731</v>
      </c>
      <c r="T146" s="59">
        <f t="shared" si="142"/>
        <v>263.50418595307343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3.1320450840646608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3.9606528823692901E-16</v>
      </c>
      <c r="AC146" s="22">
        <f t="shared" si="111"/>
        <v>3.1320450840646612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2.2999999999999998</v>
      </c>
      <c r="AI146" s="13">
        <f>IF('Données projet'!$A$62&gt;35,AI145+AH146-AQ145,IF(A146&lt;'Données projet'!$A$62,$AF$205^A146,IF(A146='Données projet'!$A$62,'Données projet'!$B$62,AI145+AH146-AQ145)))</f>
        <v>275.90000000000015</v>
      </c>
      <c r="AJ146" s="13">
        <f>AI146*VLOOKUP('Données projet'!$B$10,Paramètres!$A$1:$I$89,3,0)*VLOOKUP('Données projet'!$B$10,Paramètres!$A$1:$I$89,5,0)</f>
        <v>232.41816000000017</v>
      </c>
      <c r="AK146" s="13">
        <f t="shared" si="143"/>
        <v>56.805225565077258</v>
      </c>
      <c r="AL146" s="20">
        <f t="shared" si="112"/>
        <v>503.73072985917651</v>
      </c>
      <c r="AM146" s="59">
        <f t="shared" si="113"/>
        <v>797.06406319250982</v>
      </c>
      <c r="AN146" s="59">
        <f ca="1">AVERAGE(OFFSET($AM$3,0,0,'Données projet'!$E$10+1,1))-AVERAGE(OFFSET($H$3,0,0,'Données projet'!$E$10+1,1))</f>
        <v>276.71735592065937</v>
      </c>
      <c r="AO146" s="59">
        <f t="shared" si="144"/>
        <v>159.98571289571038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30.235794719369647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30.235794719369647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2.7193891583010558E-13</v>
      </c>
      <c r="P147" s="13">
        <f t="shared" si="141"/>
        <v>3.6362267729089988E-12</v>
      </c>
      <c r="Q147" s="20">
        <f t="shared" si="108"/>
        <v>6.8067219078872727E-12</v>
      </c>
      <c r="R147" s="59">
        <f t="shared" si="109"/>
        <v>293.33333333334014</v>
      </c>
      <c r="S147" s="59">
        <f ca="1">AVERAGE(OFFSET($R$3,0,0,'Données projet'!$E$9+1,1))-AVERAGE(OFFSET($H$3,0,0,'Données projet'!$E$9+1,1))</f>
        <v>252.28378247570731</v>
      </c>
      <c r="T147" s="59">
        <f t="shared" si="142"/>
        <v>263.50418595307343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3.0706275903250217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2.8006045110493704E-16</v>
      </c>
      <c r="AC147" s="22">
        <f t="shared" si="111"/>
        <v>3.0706275903250222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2.2999999999999998</v>
      </c>
      <c r="AI147" s="13">
        <f>IF('Données projet'!$A$62&gt;35,AI146+AH147-AQ146,IF(A147&lt;'Données projet'!$A$62,$AF$205^A147,IF(A147='Données projet'!$A$62,'Données projet'!$B$62,AI146+AH147-AQ146)))</f>
        <v>278.20000000000016</v>
      </c>
      <c r="AJ147" s="13">
        <f>AI147*VLOOKUP('Données projet'!$B$10,Paramètres!$A$1:$I$89,3,0)*VLOOKUP('Données projet'!$B$10,Paramètres!$A$1:$I$89,5,0)</f>
        <v>234.35568000000015</v>
      </c>
      <c r="AK147" s="13">
        <f t="shared" si="143"/>
        <v>57.223450596296942</v>
      </c>
      <c r="AL147" s="20">
        <f t="shared" si="112"/>
        <v>507.83365245521736</v>
      </c>
      <c r="AM147" s="59">
        <f t="shared" si="113"/>
        <v>801.16698578855062</v>
      </c>
      <c r="AN147" s="59">
        <f ca="1">AVERAGE(OFFSET($AM$3,0,0,'Données projet'!$E$10+1,1))-AVERAGE(OFFSET($H$3,0,0,'Données projet'!$E$10+1,1))</f>
        <v>276.71735592065937</v>
      </c>
      <c r="AO147" s="59">
        <f t="shared" si="144"/>
        <v>159.98571289571038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29.642889226936589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29.642889226936589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2.7193891583010558E-13</v>
      </c>
      <c r="P148" s="13">
        <f t="shared" si="141"/>
        <v>3.6362267729089988E-12</v>
      </c>
      <c r="Q148" s="20">
        <f t="shared" si="108"/>
        <v>6.8067219078872727E-12</v>
      </c>
      <c r="R148" s="59">
        <f t="shared" si="109"/>
        <v>293.33333333334014</v>
      </c>
      <c r="S148" s="59">
        <f ca="1">AVERAGE(OFFSET($R$3,0,0,'Données projet'!$E$9+1,1))-AVERAGE(OFFSET($H$3,0,0,'Données projet'!$E$9+1,1))</f>
        <v>252.28378247570731</v>
      </c>
      <c r="T148" s="59">
        <f t="shared" si="142"/>
        <v>263.50418595307343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3.0104144561766448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1.9803264411846451E-16</v>
      </c>
      <c r="AC148" s="22">
        <f t="shared" si="111"/>
        <v>3.0104144561766448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2.2999999999999998</v>
      </c>
      <c r="AI148" s="13">
        <f>IF('Données projet'!$A$62&gt;35,AI147+AH148-AQ147,IF(A148&lt;'Données projet'!$A$62,$AF$205^A148,IF(A148='Données projet'!$A$62,'Données projet'!$B$62,AI147+AH148-AQ147)))</f>
        <v>280.50000000000017</v>
      </c>
      <c r="AJ148" s="13">
        <f>AI148*VLOOKUP('Données projet'!$B$10,Paramètres!$A$1:$I$89,3,0)*VLOOKUP('Données projet'!$B$10,Paramètres!$A$1:$I$89,5,0)</f>
        <v>236.29320000000018</v>
      </c>
      <c r="AK148" s="13">
        <f t="shared" si="143"/>
        <v>57.64127334607717</v>
      </c>
      <c r="AL148" s="20">
        <f t="shared" si="112"/>
        <v>511.93587441108474</v>
      </c>
      <c r="AM148" s="59">
        <f t="shared" si="113"/>
        <v>805.26920774441805</v>
      </c>
      <c r="AN148" s="59">
        <f ca="1">AVERAGE(OFFSET($AM$3,0,0,'Données projet'!$E$10+1,1))-AVERAGE(OFFSET($H$3,0,0,'Données projet'!$E$10+1,1))</f>
        <v>276.71735592065937</v>
      </c>
      <c r="AO148" s="59">
        <f t="shared" si="144"/>
        <v>159.98571289571038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29.061610249573501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29.061610249573501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2.7193891583010558E-13</v>
      </c>
      <c r="P149" s="13">
        <f t="shared" si="141"/>
        <v>3.6362267729089988E-12</v>
      </c>
      <c r="Q149" s="20">
        <f t="shared" si="108"/>
        <v>6.8067219078872727E-12</v>
      </c>
      <c r="R149" s="59">
        <f t="shared" si="109"/>
        <v>293.33333333334014</v>
      </c>
      <c r="S149" s="59">
        <f ca="1">AVERAGE(OFFSET($R$3,0,0,'Données projet'!$E$9+1,1))-AVERAGE(OFFSET($H$3,0,0,'Données projet'!$E$9+1,1))</f>
        <v>252.28378247570731</v>
      </c>
      <c r="T149" s="59">
        <f t="shared" si="142"/>
        <v>263.50418595307343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2.9513820648625324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1.4003022555246852E-16</v>
      </c>
      <c r="AC149" s="22">
        <f t="shared" si="111"/>
        <v>2.9513820648625324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2.2999999999999998</v>
      </c>
      <c r="AI149" s="13">
        <f>IF('Données projet'!$A$62&gt;35,AI148+AH149-AQ148,IF(A149&lt;'Données projet'!$A$62,$AF$205^A149,IF(A149='Données projet'!$A$62,'Données projet'!$B$62,AI148+AH149-AQ148)))</f>
        <v>282.80000000000018</v>
      </c>
      <c r="AJ149" s="13">
        <f>AI149*VLOOKUP('Données projet'!$B$10,Paramètres!$A$1:$I$89,3,0)*VLOOKUP('Données projet'!$B$10,Paramètres!$A$1:$I$89,5,0)</f>
        <v>238.23072000000016</v>
      </c>
      <c r="AK149" s="13">
        <f t="shared" si="143"/>
        <v>58.058697495261228</v>
      </c>
      <c r="AL149" s="20">
        <f t="shared" si="112"/>
        <v>516.03740213758022</v>
      </c>
      <c r="AM149" s="59">
        <f t="shared" si="113"/>
        <v>809.37073547091359</v>
      </c>
      <c r="AN149" s="59">
        <f ca="1">AVERAGE(OFFSET($AM$3,0,0,'Données projet'!$E$10+1,1))-AVERAGE(OFFSET($H$3,0,0,'Données projet'!$E$10+1,1))</f>
        <v>276.71735592065937</v>
      </c>
      <c r="AO149" s="59">
        <f t="shared" si="144"/>
        <v>159.98571289571038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28.491729798411338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28.491729798411338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2.7193891583010558E-13</v>
      </c>
      <c r="P150" s="13">
        <f t="shared" si="141"/>
        <v>3.6362267729089988E-12</v>
      </c>
      <c r="Q150" s="20">
        <f t="shared" si="108"/>
        <v>6.8067219078872727E-12</v>
      </c>
      <c r="R150" s="59">
        <f t="shared" si="109"/>
        <v>293.33333333334014</v>
      </c>
      <c r="S150" s="59">
        <f ca="1">AVERAGE(OFFSET($R$3,0,0,'Données projet'!$E$9+1,1))-AVERAGE(OFFSET($H$3,0,0,'Données projet'!$E$9+1,1))</f>
        <v>252.28378247570731</v>
      </c>
      <c r="T150" s="59">
        <f t="shared" si="142"/>
        <v>263.50418595307343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2.893507262735886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9.9016322059232253E-17</v>
      </c>
      <c r="AC150" s="22">
        <f t="shared" si="111"/>
        <v>2.893507262735886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2.2999999999999998</v>
      </c>
      <c r="AI150" s="13">
        <f>IF('Données projet'!$A$62&gt;35,AI149+AH150-AQ149,IF(A150&lt;'Données projet'!$A$62,$AF$205^A150,IF(A150='Données projet'!$A$62,'Données projet'!$B$62,AI149+AH150-AQ149)))</f>
        <v>285.10000000000019</v>
      </c>
      <c r="AJ150" s="13">
        <f>AI150*VLOOKUP('Données projet'!$B$10,Paramètres!$A$1:$I$89,3,0)*VLOOKUP('Données projet'!$B$10,Paramètres!$A$1:$I$89,5,0)</f>
        <v>240.1682400000002</v>
      </c>
      <c r="AK150" s="13">
        <f t="shared" si="143"/>
        <v>58.475726661363446</v>
      </c>
      <c r="AL150" s="20">
        <f t="shared" si="112"/>
        <v>520.13824193520838</v>
      </c>
      <c r="AM150" s="59">
        <f t="shared" si="113"/>
        <v>813.47157526854176</v>
      </c>
      <c r="AN150" s="59">
        <f ca="1">AVERAGE(OFFSET($AM$3,0,0,'Données projet'!$E$10+1,1))-AVERAGE(OFFSET($H$3,0,0,'Données projet'!$E$10+1,1))</f>
        <v>276.71735592065937</v>
      </c>
      <c r="AO150" s="59">
        <f t="shared" si="144"/>
        <v>159.98571289571038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27.933024355303711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27.933024355303711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2.7193891583010558E-13</v>
      </c>
      <c r="P151" s="13">
        <f t="shared" si="141"/>
        <v>3.6362267729089988E-12</v>
      </c>
      <c r="Q151" s="20">
        <f t="shared" si="108"/>
        <v>6.8067219078872727E-12</v>
      </c>
      <c r="R151" s="59">
        <f t="shared" si="109"/>
        <v>293.33333333334014</v>
      </c>
      <c r="S151" s="59">
        <f ca="1">AVERAGE(OFFSET($R$3,0,0,'Données projet'!$E$9+1,1))-AVERAGE(OFFSET($H$3,0,0,'Données projet'!$E$9+1,1))</f>
        <v>252.28378247570731</v>
      </c>
      <c r="T151" s="59">
        <f t="shared" si="142"/>
        <v>263.50418595307343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2.8367673501787998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7.0015112776234259E-17</v>
      </c>
      <c r="AC151" s="22">
        <f t="shared" si="111"/>
        <v>2.8367673501787998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2.2999999999999998</v>
      </c>
      <c r="AI151" s="13">
        <f>IF('Données projet'!$A$62&gt;35,AI150+AH151-AQ150,IF(A151&lt;'Données projet'!$A$62,$AF$205^A151,IF(A151='Données projet'!$A$62,'Données projet'!$B$62,AI150+AH151-AQ150)))</f>
        <v>287.4000000000002</v>
      </c>
      <c r="AJ151" s="13">
        <f>AI151*VLOOKUP('Données projet'!$B$10,Paramètres!$A$1:$I$89,3,0)*VLOOKUP('Données projet'!$B$10,Paramètres!$A$1:$I$89,5,0)</f>
        <v>242.10576000000017</v>
      </c>
      <c r="AK151" s="13">
        <f t="shared" si="143"/>
        <v>58.89236440016073</v>
      </c>
      <c r="AL151" s="20">
        <f t="shared" si="112"/>
        <v>524.2383999969469</v>
      </c>
      <c r="AM151" s="59">
        <f t="shared" si="113"/>
        <v>817.57173333028027</v>
      </c>
      <c r="AN151" s="59">
        <f ca="1">AVERAGE(OFFSET($AM$3,0,0,'Données projet'!$E$10+1,1))-AVERAGE(OFFSET($H$3,0,0,'Données projet'!$E$10+1,1))</f>
        <v>276.71735592065937</v>
      </c>
      <c r="AO151" s="59">
        <f t="shared" si="144"/>
        <v>159.98571289571038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27.385274785158753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27.385274785158753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2.7193891583010558E-13</v>
      </c>
      <c r="P152" s="13">
        <f t="shared" si="141"/>
        <v>3.6362267729089988E-12</v>
      </c>
      <c r="Q152" s="20">
        <f t="shared" si="108"/>
        <v>6.8067219078872727E-12</v>
      </c>
      <c r="R152" s="59">
        <f t="shared" si="109"/>
        <v>293.33333333334014</v>
      </c>
      <c r="S152" s="59">
        <f ca="1">AVERAGE(OFFSET($R$3,0,0,'Données projet'!$E$9+1,1))-AVERAGE(OFFSET($H$3,0,0,'Données projet'!$E$9+1,1))</f>
        <v>252.28378247570731</v>
      </c>
      <c r="T152" s="59">
        <f t="shared" si="142"/>
        <v>263.50418595307343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2.7811400726990283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4.9508161029616127E-17</v>
      </c>
      <c r="AC152" s="22">
        <f t="shared" si="111"/>
        <v>2.7811400726990283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2.2999999999999998</v>
      </c>
      <c r="AI152" s="13">
        <f>IF('Données projet'!$A$62&gt;35,AI151+AH152-AQ151,IF(A152&lt;'Données projet'!$A$62,$AF$205^A152,IF(A152='Données projet'!$A$62,'Données projet'!$B$62,AI151+AH152-AQ151)))</f>
        <v>289.70000000000022</v>
      </c>
      <c r="AJ152" s="13">
        <f>AI152*VLOOKUP('Données projet'!$B$10,Paramètres!$A$1:$I$89,3,0)*VLOOKUP('Données projet'!$B$10,Paramètres!$A$1:$I$89,5,0)</f>
        <v>244.04328000000021</v>
      </c>
      <c r="AK152" s="13">
        <f t="shared" si="143"/>
        <v>59.308614207231592</v>
      </c>
      <c r="AL152" s="20">
        <f t="shared" si="112"/>
        <v>528.33788241092873</v>
      </c>
      <c r="AM152" s="59">
        <f t="shared" si="113"/>
        <v>821.6712157442621</v>
      </c>
      <c r="AN152" s="59">
        <f ca="1">AVERAGE(OFFSET($AM$3,0,0,'Données projet'!$E$10+1,1))-AVERAGE(OFFSET($H$3,0,0,'Données projet'!$E$10+1,1))</f>
        <v>276.71735592065937</v>
      </c>
      <c r="AO152" s="59">
        <f t="shared" si="144"/>
        <v>159.98571289571038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26.84826624999009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26.84826624999009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2.7193891583010558E-13</v>
      </c>
      <c r="P153" s="13">
        <f t="shared" si="141"/>
        <v>3.6362267729089988E-12</v>
      </c>
      <c r="Q153" s="20">
        <f t="shared" si="108"/>
        <v>6.8067219078872727E-12</v>
      </c>
      <c r="R153" s="59">
        <f t="shared" si="109"/>
        <v>293.33333333334014</v>
      </c>
      <c r="S153" s="59">
        <f ca="1">AVERAGE(OFFSET($R$3,0,0,'Données projet'!$E$9+1,1))-AVERAGE(OFFSET($H$3,0,0,'Données projet'!$E$9+1,1))</f>
        <v>252.28378247570731</v>
      </c>
      <c r="T153" s="59">
        <f t="shared" si="142"/>
        <v>263.50418595307343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2.7266036122013464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3.5007556388117129E-17</v>
      </c>
      <c r="AC153" s="22">
        <f t="shared" si="111"/>
        <v>2.7266036122013464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292</v>
      </c>
      <c r="AG153" s="12">
        <f>VLOOKUP(A153,'Données projet'!$A$61:$I$81,9,0)</f>
        <v>2.2999999999999998</v>
      </c>
      <c r="AH153" s="12">
        <f t="array" ref="AH153">INDEX(AG:AG,MIN(IF(ISNUMBER(AG153:AG349),ROW(AG153:AG349),"")))</f>
        <v>2.2999999999999998</v>
      </c>
      <c r="AI153" s="13">
        <f>IF('Données projet'!$A$62&gt;35,AI152+AH153-AQ152,IF(A153&lt;'Données projet'!$A$62,$AF$205^A153,IF(A153='Données projet'!$A$62,'Données projet'!$B$62,AI152+AH153-AQ152)))</f>
        <v>292.00000000000023</v>
      </c>
      <c r="AJ153" s="13">
        <f>AI153*VLOOKUP('Données projet'!$B$10,Paramètres!$A$1:$I$89,3,0)*VLOOKUP('Données projet'!$B$10,Paramètres!$A$1:$I$89,5,0)</f>
        <v>245.98080000000019</v>
      </c>
      <c r="AK153" s="13">
        <f t="shared" si="143"/>
        <v>59.724479519444913</v>
      </c>
      <c r="AL153" s="20">
        <f t="shared" si="112"/>
        <v>532.43669516303351</v>
      </c>
      <c r="AM153" s="59">
        <f t="shared" si="113"/>
        <v>825.77002849636688</v>
      </c>
      <c r="AN153" s="59">
        <f ca="1">AVERAGE(OFFSET($AM$3,0,0,'Données projet'!$E$10+1,1))-AVERAGE(OFFSET($H$3,0,0,'Données projet'!$E$10+1,1))</f>
        <v>276.71735592065937</v>
      </c>
      <c r="AO153" s="59">
        <f t="shared" si="144"/>
        <v>159.98571289571038</v>
      </c>
      <c r="AP153" s="15">
        <f>IF(ISNA(VLOOKUP(A153,'Données projet'!$A$61:$I$81,3,0)),0,VLOOKUP(A153,'Données projet'!$A$61:$I$81,3,0))</f>
        <v>14</v>
      </c>
      <c r="AQ153" s="15">
        <f>IF(ISNA(VLOOKUP(A153,'Données projet'!$A$61:$I$81,4,0)),0,VLOOKUP(A153,'Données projet'!$A$61:$I$81,4,0))</f>
        <v>292</v>
      </c>
      <c r="AR153" s="16">
        <f>IF(ISNA(VLOOKUP(A153,'Données projet'!$A$61:$I$81,5,0)),0%,VLOOKUP(A153,'Données projet'!$A$61:$I$81,5,0)*VLOOKUP('Données projet'!$B$10,Paramètres!$A$1:$I$89,7,0))</f>
        <v>0.43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143.24931810819527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143.24931810819527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2.7193891583010558E-13</v>
      </c>
      <c r="P154" s="13">
        <f t="shared" si="141"/>
        <v>3.6362267729089988E-12</v>
      </c>
      <c r="Q154" s="20">
        <f t="shared" ref="Q154:Q203" si="162">(O154+P154)*0.475*44/12</f>
        <v>6.8067219078872727E-12</v>
      </c>
      <c r="R154" s="59">
        <f t="shared" si="109"/>
        <v>293.33333333334014</v>
      </c>
      <c r="S154" s="59">
        <f ca="1">AVERAGE(OFFSET($R$3,0,0,'Données projet'!$E$9+1,1))-AVERAGE(OFFSET($H$3,0,0,'Données projet'!$E$9+1,1))</f>
        <v>252.28378247570731</v>
      </c>
      <c r="T154" s="59">
        <f t="shared" si="142"/>
        <v>263.50418595307343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2.6731365784300674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2.4754080514808063E-17</v>
      </c>
      <c r="AC154" s="22">
        <f t="shared" ref="AC154:AC203" si="163">SUM(Z154:AB154)</f>
        <v>2.6731365784300674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2.2737367544323206E-13</v>
      </c>
      <c r="AJ154" s="13">
        <f>AI154*VLOOKUP('Données projet'!$B$10,Paramètres!$A$1:$I$89,3,0)*VLOOKUP('Données projet'!$B$10,Paramètres!$A$1:$I$89,5,0)</f>
        <v>1.915395841933787E-13</v>
      </c>
      <c r="AK154" s="13">
        <f t="shared" ref="AK154:AK203" si="164">EXP(-1.0587+0.8836*LN(AJ154)+0.284)</f>
        <v>2.6678150060950022E-12</v>
      </c>
      <c r="AL154" s="20">
        <f t="shared" ref="AL154:AL203" si="165">(AJ154+AK154)*0.475*44/12</f>
        <v>4.9800425780855959E-12</v>
      </c>
      <c r="AM154" s="59">
        <f t="shared" si="113"/>
        <v>293.33333333333832</v>
      </c>
      <c r="AN154" s="59">
        <f ca="1">AVERAGE(OFFSET($AM$3,0,0,'Données projet'!$E$10+1,1))-AVERAGE(OFFSET($H$3,0,0,'Données projet'!$E$10+1,1))</f>
        <v>276.71735592065937</v>
      </c>
      <c r="AO154" s="59">
        <f t="shared" si="144"/>
        <v>159.98571289571038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140.44028635355019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140.44028635355019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2.7193891583010558E-13</v>
      </c>
      <c r="P155" s="13">
        <f t="shared" si="141"/>
        <v>3.6362267729089988E-12</v>
      </c>
      <c r="Q155" s="20">
        <f t="shared" si="162"/>
        <v>6.8067219078872727E-12</v>
      </c>
      <c r="R155" s="59">
        <f t="shared" si="109"/>
        <v>293.33333333334014</v>
      </c>
      <c r="S155" s="59">
        <f ca="1">AVERAGE(OFFSET($R$3,0,0,'Données projet'!$E$9+1,1))-AVERAGE(OFFSET($H$3,0,0,'Données projet'!$E$9+1,1))</f>
        <v>252.28378247570731</v>
      </c>
      <c r="T155" s="59">
        <f t="shared" si="142"/>
        <v>263.50418595307343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2.6207180005793727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1.7503778194058565E-17</v>
      </c>
      <c r="AC155" s="22">
        <f t="shared" si="163"/>
        <v>2.6207180005793727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2.2737367544323206E-13</v>
      </c>
      <c r="AJ155" s="13">
        <f>AI155*VLOOKUP('Données projet'!$B$10,Paramètres!$A$1:$I$89,3,0)*VLOOKUP('Données projet'!$B$10,Paramètres!$A$1:$I$89,5,0)</f>
        <v>1.915395841933787E-13</v>
      </c>
      <c r="AK155" s="13">
        <f t="shared" si="164"/>
        <v>2.6678150060950022E-12</v>
      </c>
      <c r="AL155" s="20">
        <f t="shared" si="165"/>
        <v>4.9800425780855959E-12</v>
      </c>
      <c r="AM155" s="59">
        <f t="shared" si="113"/>
        <v>293.33333333333832</v>
      </c>
      <c r="AN155" s="59">
        <f ca="1">AVERAGE(OFFSET($AM$3,0,0,'Données projet'!$E$10+1,1))-AVERAGE(OFFSET($H$3,0,0,'Données projet'!$E$10+1,1))</f>
        <v>276.71735592065937</v>
      </c>
      <c r="AO155" s="59">
        <f t="shared" si="144"/>
        <v>159.98571289571038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137.6863379982735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137.6863379982735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2.7193891583010558E-13</v>
      </c>
      <c r="P156" s="13">
        <f t="shared" si="141"/>
        <v>3.6362267729089988E-12</v>
      </c>
      <c r="Q156" s="20">
        <f t="shared" si="162"/>
        <v>6.8067219078872727E-12</v>
      </c>
      <c r="R156" s="59">
        <f t="shared" si="109"/>
        <v>293.33333333334014</v>
      </c>
      <c r="S156" s="59">
        <f ca="1">AVERAGE(OFFSET($R$3,0,0,'Données projet'!$E$9+1,1))-AVERAGE(OFFSET($H$3,0,0,'Données projet'!$E$9+1,1))</f>
        <v>252.28378247570731</v>
      </c>
      <c r="T156" s="59">
        <f t="shared" si="142"/>
        <v>263.50418595307343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2.5693273190681549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1.2377040257404032E-17</v>
      </c>
      <c r="AC156" s="22">
        <f t="shared" si="163"/>
        <v>2.5693273190681549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2.2737367544323206E-13</v>
      </c>
      <c r="AJ156" s="13">
        <f>AI156*VLOOKUP('Données projet'!$B$10,Paramètres!$A$1:$I$89,3,0)*VLOOKUP('Données projet'!$B$10,Paramètres!$A$1:$I$89,5,0)</f>
        <v>1.915395841933787E-13</v>
      </c>
      <c r="AK156" s="13">
        <f t="shared" si="164"/>
        <v>2.6678150060950022E-12</v>
      </c>
      <c r="AL156" s="20">
        <f t="shared" si="165"/>
        <v>4.9800425780855959E-12</v>
      </c>
      <c r="AM156" s="59">
        <f t="shared" si="113"/>
        <v>293.33333333333832</v>
      </c>
      <c r="AN156" s="59">
        <f ca="1">AVERAGE(OFFSET($AM$3,0,0,'Données projet'!$E$10+1,1))-AVERAGE(OFFSET($H$3,0,0,'Données projet'!$E$10+1,1))</f>
        <v>276.71735592065937</v>
      </c>
      <c r="AO156" s="59">
        <f t="shared" si="144"/>
        <v>159.98571289571038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134.98639289050115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134.98639289050115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2.7193891583010558E-13</v>
      </c>
      <c r="P157" s="13">
        <f t="shared" si="141"/>
        <v>3.6362267729089988E-12</v>
      </c>
      <c r="Q157" s="20">
        <f t="shared" si="162"/>
        <v>6.8067219078872727E-12</v>
      </c>
      <c r="R157" s="59">
        <f t="shared" si="109"/>
        <v>293.33333333334014</v>
      </c>
      <c r="S157" s="59">
        <f ca="1">AVERAGE(OFFSET($R$3,0,0,'Données projet'!$E$9+1,1))-AVERAGE(OFFSET($H$3,0,0,'Données projet'!$E$9+1,1))</f>
        <v>252.28378247570731</v>
      </c>
      <c r="T157" s="59">
        <f t="shared" si="142"/>
        <v>263.50418595307343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2.5189443774761515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8.7518890970292824E-18</v>
      </c>
      <c r="AC157" s="22">
        <f t="shared" si="163"/>
        <v>2.5189443774761515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2.2737367544323206E-13</v>
      </c>
      <c r="AJ157" s="13">
        <f>AI157*VLOOKUP('Données projet'!$B$10,Paramètres!$A$1:$I$89,3,0)*VLOOKUP('Données projet'!$B$10,Paramètres!$A$1:$I$89,5,0)</f>
        <v>1.915395841933787E-13</v>
      </c>
      <c r="AK157" s="13">
        <f t="shared" si="164"/>
        <v>2.6678150060950022E-12</v>
      </c>
      <c r="AL157" s="20">
        <f t="shared" si="165"/>
        <v>4.9800425780855959E-12</v>
      </c>
      <c r="AM157" s="59">
        <f t="shared" si="113"/>
        <v>293.33333333333832</v>
      </c>
      <c r="AN157" s="59">
        <f ca="1">AVERAGE(OFFSET($AM$3,0,0,'Données projet'!$E$10+1,1))-AVERAGE(OFFSET($H$3,0,0,'Données projet'!$E$10+1,1))</f>
        <v>276.71735592065937</v>
      </c>
      <c r="AO157" s="59">
        <f t="shared" si="144"/>
        <v>159.98571289571038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132.33939205948832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132.33939205948832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2.7193891583010558E-13</v>
      </c>
      <c r="P158" s="13">
        <f t="shared" si="141"/>
        <v>3.6362267729089988E-12</v>
      </c>
      <c r="Q158" s="20">
        <f t="shared" si="162"/>
        <v>6.8067219078872727E-12</v>
      </c>
      <c r="R158" s="59">
        <f t="shared" si="109"/>
        <v>293.33333333334014</v>
      </c>
      <c r="S158" s="59">
        <f ca="1">AVERAGE(OFFSET($R$3,0,0,'Données projet'!$E$9+1,1))-AVERAGE(OFFSET($H$3,0,0,'Données projet'!$E$9+1,1))</f>
        <v>252.28378247570731</v>
      </c>
      <c r="T158" s="59">
        <f t="shared" si="142"/>
        <v>263.50418595307343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2.4695494146382071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6.1885201287020158E-18</v>
      </c>
      <c r="AC158" s="22">
        <f t="shared" si="163"/>
        <v>2.4695494146382071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2.2737367544323206E-13</v>
      </c>
      <c r="AJ158" s="13">
        <f>AI158*VLOOKUP('Données projet'!$B$10,Paramètres!$A$1:$I$89,3,0)*VLOOKUP('Données projet'!$B$10,Paramètres!$A$1:$I$89,5,0)</f>
        <v>1.915395841933787E-13</v>
      </c>
      <c r="AK158" s="13">
        <f t="shared" si="164"/>
        <v>2.6678150060950022E-12</v>
      </c>
      <c r="AL158" s="20">
        <f t="shared" si="165"/>
        <v>4.9800425780855959E-12</v>
      </c>
      <c r="AM158" s="59">
        <f t="shared" si="113"/>
        <v>293.33333333333832</v>
      </c>
      <c r="AN158" s="59">
        <f ca="1">AVERAGE(OFFSET($AM$3,0,0,'Données projet'!$E$10+1,1))-AVERAGE(OFFSET($H$3,0,0,'Données projet'!$E$10+1,1))</f>
        <v>276.71735592065937</v>
      </c>
      <c r="AO158" s="59">
        <f t="shared" si="144"/>
        <v>159.98571289571038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129.74429730026057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129.74429730026057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2.7193891583010558E-13</v>
      </c>
      <c r="P159" s="13">
        <f t="shared" si="141"/>
        <v>3.6362267729089988E-12</v>
      </c>
      <c r="Q159" s="20">
        <f t="shared" si="162"/>
        <v>6.8067219078872727E-12</v>
      </c>
      <c r="R159" s="59">
        <f t="shared" si="109"/>
        <v>293.33333333334014</v>
      </c>
      <c r="S159" s="59">
        <f ca="1">AVERAGE(OFFSET($R$3,0,0,'Données projet'!$E$9+1,1))-AVERAGE(OFFSET($H$3,0,0,'Données projet'!$E$9+1,1))</f>
        <v>252.28378247570731</v>
      </c>
      <c r="T159" s="59">
        <f t="shared" si="142"/>
        <v>263.50418595307343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2.4211230568935624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4.3759445485146412E-18</v>
      </c>
      <c r="AC159" s="22">
        <f t="shared" si="163"/>
        <v>2.4211230568935624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2.2737367544323206E-13</v>
      </c>
      <c r="AJ159" s="13">
        <f>AI159*VLOOKUP('Données projet'!$B$10,Paramètres!$A$1:$I$89,3,0)*VLOOKUP('Données projet'!$B$10,Paramètres!$A$1:$I$89,5,0)</f>
        <v>1.915395841933787E-13</v>
      </c>
      <c r="AK159" s="13">
        <f t="shared" si="164"/>
        <v>2.6678150060950022E-12</v>
      </c>
      <c r="AL159" s="20">
        <f t="shared" si="165"/>
        <v>4.9800425780855959E-12</v>
      </c>
      <c r="AM159" s="59">
        <f t="shared" si="113"/>
        <v>293.33333333333832</v>
      </c>
      <c r="AN159" s="59">
        <f ca="1">AVERAGE(OFFSET($AM$3,0,0,'Données projet'!$E$10+1,1))-AVERAGE(OFFSET($H$3,0,0,'Données projet'!$E$10+1,1))</f>
        <v>276.71735592065937</v>
      </c>
      <c r="AO159" s="59">
        <f t="shared" si="144"/>
        <v>159.98571289571038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127.20009076640976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127.20009076640976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2.7193891583010558E-13</v>
      </c>
      <c r="P160" s="13">
        <f t="shared" si="141"/>
        <v>3.6362267729089988E-12</v>
      </c>
      <c r="Q160" s="20">
        <f t="shared" si="162"/>
        <v>6.8067219078872727E-12</v>
      </c>
      <c r="R160" s="59">
        <f t="shared" si="109"/>
        <v>293.33333333334014</v>
      </c>
      <c r="S160" s="59">
        <f ca="1">AVERAGE(OFFSET($R$3,0,0,'Données projet'!$E$9+1,1))-AVERAGE(OFFSET($H$3,0,0,'Données projet'!$E$9+1,1))</f>
        <v>252.28378247570731</v>
      </c>
      <c r="T160" s="59">
        <f t="shared" si="142"/>
        <v>263.50418595307343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2.3736463104871284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3.0942600643510079E-18</v>
      </c>
      <c r="AC160" s="22">
        <f t="shared" si="163"/>
        <v>2.3736463104871284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2.2737367544323206E-13</v>
      </c>
      <c r="AJ160" s="13">
        <f>AI160*VLOOKUP('Données projet'!$B$10,Paramètres!$A$1:$I$89,3,0)*VLOOKUP('Données projet'!$B$10,Paramètres!$A$1:$I$89,5,0)</f>
        <v>1.915395841933787E-13</v>
      </c>
      <c r="AK160" s="13">
        <f t="shared" si="164"/>
        <v>2.6678150060950022E-12</v>
      </c>
      <c r="AL160" s="20">
        <f t="shared" si="165"/>
        <v>4.9800425780855959E-12</v>
      </c>
      <c r="AM160" s="59">
        <f t="shared" si="113"/>
        <v>293.33333333333832</v>
      </c>
      <c r="AN160" s="59">
        <f ca="1">AVERAGE(OFFSET($AM$3,0,0,'Données projet'!$E$10+1,1))-AVERAGE(OFFSET($H$3,0,0,'Données projet'!$E$10+1,1))</f>
        <v>276.71735592065937</v>
      </c>
      <c r="AO160" s="59">
        <f t="shared" si="144"/>
        <v>159.98571289571038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124.70577457087501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124.70577457087501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2.7193891583010558E-13</v>
      </c>
      <c r="P161" s="13">
        <f t="shared" si="141"/>
        <v>3.6362267729089988E-12</v>
      </c>
      <c r="Q161" s="20">
        <f t="shared" si="162"/>
        <v>6.8067219078872727E-12</v>
      </c>
      <c r="R161" s="59">
        <f t="shared" si="109"/>
        <v>293.33333333334014</v>
      </c>
      <c r="S161" s="59">
        <f ca="1">AVERAGE(OFFSET($R$3,0,0,'Données projet'!$E$9+1,1))-AVERAGE(OFFSET($H$3,0,0,'Données projet'!$E$9+1,1))</f>
        <v>252.28378247570731</v>
      </c>
      <c r="T161" s="59">
        <f t="shared" si="142"/>
        <v>263.50418595307343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2.3271005541197685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2.1879722742573206E-18</v>
      </c>
      <c r="AC161" s="22">
        <f t="shared" si="163"/>
        <v>2.3271005541197685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2.2737367544323206E-13</v>
      </c>
      <c r="AJ161" s="13">
        <f>AI161*VLOOKUP('Données projet'!$B$10,Paramètres!$A$1:$I$89,3,0)*VLOOKUP('Données projet'!$B$10,Paramètres!$A$1:$I$89,5,0)</f>
        <v>1.915395841933787E-13</v>
      </c>
      <c r="AK161" s="13">
        <f t="shared" si="164"/>
        <v>2.6678150060950022E-12</v>
      </c>
      <c r="AL161" s="20">
        <f t="shared" si="165"/>
        <v>4.9800425780855959E-12</v>
      </c>
      <c r="AM161" s="59">
        <f t="shared" si="113"/>
        <v>293.33333333333832</v>
      </c>
      <c r="AN161" s="59">
        <f ca="1">AVERAGE(OFFSET($AM$3,0,0,'Données projet'!$E$10+1,1))-AVERAGE(OFFSET($H$3,0,0,'Données projet'!$E$10+1,1))</f>
        <v>276.71735592065937</v>
      </c>
      <c r="AO161" s="59">
        <f t="shared" si="144"/>
        <v>159.98571289571038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122.26037039455204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122.26037039455204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2.7193891583010558E-13</v>
      </c>
      <c r="P162" s="13">
        <f t="shared" si="141"/>
        <v>3.6362267729089988E-12</v>
      </c>
      <c r="Q162" s="20">
        <f t="shared" si="162"/>
        <v>6.8067219078872727E-12</v>
      </c>
      <c r="R162" s="59">
        <f t="shared" si="109"/>
        <v>293.33333333334014</v>
      </c>
      <c r="S162" s="59">
        <f ca="1">AVERAGE(OFFSET($R$3,0,0,'Données projet'!$E$9+1,1))-AVERAGE(OFFSET($H$3,0,0,'Données projet'!$E$9+1,1))</f>
        <v>252.28378247570731</v>
      </c>
      <c r="T162" s="59">
        <f t="shared" si="142"/>
        <v>263.50418595307343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2.2814675316446644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1.547130032175504E-18</v>
      </c>
      <c r="AC162" s="22">
        <f t="shared" si="163"/>
        <v>2.2814675316446644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2.2737367544323206E-13</v>
      </c>
      <c r="AJ162" s="13">
        <f>AI162*VLOOKUP('Données projet'!$B$10,Paramètres!$A$1:$I$89,3,0)*VLOOKUP('Données projet'!$B$10,Paramètres!$A$1:$I$89,5,0)</f>
        <v>1.915395841933787E-13</v>
      </c>
      <c r="AK162" s="13">
        <f t="shared" si="164"/>
        <v>2.6678150060950022E-12</v>
      </c>
      <c r="AL162" s="20">
        <f t="shared" si="165"/>
        <v>4.9800425780855959E-12</v>
      </c>
      <c r="AM162" s="59">
        <f t="shared" si="113"/>
        <v>293.33333333333832</v>
      </c>
      <c r="AN162" s="59">
        <f ca="1">AVERAGE(OFFSET($AM$3,0,0,'Données projet'!$E$10+1,1))-AVERAGE(OFFSET($H$3,0,0,'Données projet'!$E$10+1,1))</f>
        <v>276.71735592065937</v>
      </c>
      <c r="AO162" s="59">
        <f t="shared" si="144"/>
        <v>159.98571289571038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119.86291910257749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119.86291910257749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2.7193891583010558E-13</v>
      </c>
      <c r="P163" s="13">
        <f t="shared" si="141"/>
        <v>3.6362267729089988E-12</v>
      </c>
      <c r="Q163" s="20">
        <f t="shared" si="162"/>
        <v>6.8067219078872727E-12</v>
      </c>
      <c r="R163" s="59">
        <f t="shared" si="109"/>
        <v>293.33333333334014</v>
      </c>
      <c r="S163" s="59">
        <f ca="1">AVERAGE(OFFSET($R$3,0,0,'Données projet'!$E$9+1,1))-AVERAGE(OFFSET($H$3,0,0,'Données projet'!$E$9+1,1))</f>
        <v>252.28378247570731</v>
      </c>
      <c r="T163" s="59">
        <f t="shared" si="142"/>
        <v>263.50418595307343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2.2367293449069021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1.0939861371286603E-18</v>
      </c>
      <c r="AC163" s="22">
        <f t="shared" si="163"/>
        <v>2.2367293449069021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2.2737367544323206E-13</v>
      </c>
      <c r="AJ163" s="13">
        <f>AI163*VLOOKUP('Données projet'!$B$10,Paramètres!$A$1:$I$89,3,0)*VLOOKUP('Données projet'!$B$10,Paramètres!$A$1:$I$89,5,0)</f>
        <v>1.915395841933787E-13</v>
      </c>
      <c r="AK163" s="13">
        <f t="shared" si="164"/>
        <v>2.6678150060950022E-12</v>
      </c>
      <c r="AL163" s="20">
        <f t="shared" si="165"/>
        <v>4.9800425780855959E-12</v>
      </c>
      <c r="AM163" s="59">
        <f t="shared" si="113"/>
        <v>293.33333333333832</v>
      </c>
      <c r="AN163" s="59">
        <f ca="1">AVERAGE(OFFSET($AM$3,0,0,'Données projet'!$E$10+1,1))-AVERAGE(OFFSET($H$3,0,0,'Données projet'!$E$10+1,1))</f>
        <v>276.71735592065937</v>
      </c>
      <c r="AO163" s="59">
        <f t="shared" si="144"/>
        <v>159.98571289571038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117.51248036813767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117.51248036813767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2.7193891583010558E-13</v>
      </c>
      <c r="P164" s="13">
        <f t="shared" si="141"/>
        <v>3.6362267729089988E-12</v>
      </c>
      <c r="Q164" s="20">
        <f t="shared" si="162"/>
        <v>6.8067219078872727E-12</v>
      </c>
      <c r="R164" s="59">
        <f t="shared" si="109"/>
        <v>293.33333333334014</v>
      </c>
      <c r="S164" s="59">
        <f ca="1">AVERAGE(OFFSET($R$3,0,0,'Données projet'!$E$9+1,1))-AVERAGE(OFFSET($H$3,0,0,'Données projet'!$E$9+1,1))</f>
        <v>252.28378247570731</v>
      </c>
      <c r="T164" s="59">
        <f t="shared" si="142"/>
        <v>263.50418595307343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2.1928684467234678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7.7356501608775198E-19</v>
      </c>
      <c r="AC164" s="22">
        <f t="shared" si="163"/>
        <v>2.1928684467234678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2.2737367544323206E-13</v>
      </c>
      <c r="AJ164" s="13">
        <f>AI164*VLOOKUP('Données projet'!$B$10,Paramètres!$A$1:$I$89,3,0)*VLOOKUP('Données projet'!$B$10,Paramètres!$A$1:$I$89,5,0)</f>
        <v>1.915395841933787E-13</v>
      </c>
      <c r="AK164" s="13">
        <f t="shared" si="164"/>
        <v>2.6678150060950022E-12</v>
      </c>
      <c r="AL164" s="20">
        <f t="shared" si="165"/>
        <v>4.9800425780855959E-12</v>
      </c>
      <c r="AM164" s="59">
        <f t="shared" si="113"/>
        <v>293.33333333333832</v>
      </c>
      <c r="AN164" s="59">
        <f ca="1">AVERAGE(OFFSET($AM$3,0,0,'Données projet'!$E$10+1,1))-AVERAGE(OFFSET($H$3,0,0,'Données projet'!$E$10+1,1))</f>
        <v>276.71735592065937</v>
      </c>
      <c r="AO164" s="59">
        <f t="shared" si="144"/>
        <v>159.98571289571038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115.20813230365415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115.20813230365415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2.7193891583010558E-13</v>
      </c>
      <c r="P165" s="13">
        <f t="shared" si="141"/>
        <v>3.6362267729089988E-12</v>
      </c>
      <c r="Q165" s="20">
        <f t="shared" si="162"/>
        <v>6.8067219078872727E-12</v>
      </c>
      <c r="R165" s="59">
        <f t="shared" si="109"/>
        <v>293.33333333334014</v>
      </c>
      <c r="S165" s="59">
        <f ca="1">AVERAGE(OFFSET($R$3,0,0,'Données projet'!$E$9+1,1))-AVERAGE(OFFSET($H$3,0,0,'Données projet'!$E$9+1,1))</f>
        <v>252.28378247570731</v>
      </c>
      <c r="T165" s="59">
        <f t="shared" si="142"/>
        <v>263.50418595307343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2.1498676340009042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5.4699306856433015E-19</v>
      </c>
      <c r="AC165" s="22">
        <f t="shared" si="163"/>
        <v>2.1498676340009042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2.2737367544323206E-13</v>
      </c>
      <c r="AJ165" s="13">
        <f>AI165*VLOOKUP('Données projet'!$B$10,Paramètres!$A$1:$I$89,3,0)*VLOOKUP('Données projet'!$B$10,Paramètres!$A$1:$I$89,5,0)</f>
        <v>1.915395841933787E-13</v>
      </c>
      <c r="AK165" s="13">
        <f t="shared" si="164"/>
        <v>2.6678150060950022E-12</v>
      </c>
      <c r="AL165" s="20">
        <f t="shared" si="165"/>
        <v>4.9800425780855959E-12</v>
      </c>
      <c r="AM165" s="59">
        <f t="shared" si="113"/>
        <v>293.33333333333832</v>
      </c>
      <c r="AN165" s="59">
        <f ca="1">AVERAGE(OFFSET($AM$3,0,0,'Données projet'!$E$10+1,1))-AVERAGE(OFFSET($H$3,0,0,'Données projet'!$E$10+1,1))</f>
        <v>276.71735592065937</v>
      </c>
      <c r="AO165" s="59">
        <f t="shared" si="144"/>
        <v>159.98571289571038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112.94897109920161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112.94897109920161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2.7193891583010558E-13</v>
      </c>
      <c r="P166" s="13">
        <f t="shared" si="141"/>
        <v>3.6362267729089988E-12</v>
      </c>
      <c r="Q166" s="20">
        <f t="shared" si="162"/>
        <v>6.8067219078872727E-12</v>
      </c>
      <c r="R166" s="59">
        <f t="shared" si="109"/>
        <v>293.33333333334014</v>
      </c>
      <c r="S166" s="59">
        <f ca="1">AVERAGE(OFFSET($R$3,0,0,'Données projet'!$E$9+1,1))-AVERAGE(OFFSET($H$3,0,0,'Données projet'!$E$9+1,1))</f>
        <v>252.28378247570731</v>
      </c>
      <c r="T166" s="59">
        <f t="shared" si="142"/>
        <v>263.50418595307343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2.1077100409879241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3.8678250804387599E-19</v>
      </c>
      <c r="AC166" s="22">
        <f t="shared" si="163"/>
        <v>2.1077100409879241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2.2737367544323206E-13</v>
      </c>
      <c r="AJ166" s="13">
        <f>AI166*VLOOKUP('Données projet'!$B$10,Paramètres!$A$1:$I$89,3,0)*VLOOKUP('Données projet'!$B$10,Paramètres!$A$1:$I$89,5,0)</f>
        <v>1.915395841933787E-13</v>
      </c>
      <c r="AK166" s="13">
        <f t="shared" si="164"/>
        <v>2.6678150060950022E-12</v>
      </c>
      <c r="AL166" s="20">
        <f t="shared" si="165"/>
        <v>4.9800425780855959E-12</v>
      </c>
      <c r="AM166" s="59">
        <f t="shared" si="113"/>
        <v>293.33333333333832</v>
      </c>
      <c r="AN166" s="59">
        <f ca="1">AVERAGE(OFFSET($AM$3,0,0,'Données projet'!$E$10+1,1))-AVERAGE(OFFSET($H$3,0,0,'Données projet'!$E$10+1,1))</f>
        <v>276.71735592065937</v>
      </c>
      <c r="AO166" s="59">
        <f t="shared" si="144"/>
        <v>159.98571289571038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110.73411066801611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110.73411066801611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2.7193891583010558E-13</v>
      </c>
      <c r="P167" s="13">
        <f t="shared" si="141"/>
        <v>3.6362267729089988E-12</v>
      </c>
      <c r="Q167" s="20">
        <f t="shared" si="162"/>
        <v>6.8067219078872727E-12</v>
      </c>
      <c r="R167" s="59">
        <f t="shared" si="109"/>
        <v>293.33333333334014</v>
      </c>
      <c r="S167" s="59">
        <f ca="1">AVERAGE(OFFSET($R$3,0,0,'Données projet'!$E$9+1,1))-AVERAGE(OFFSET($H$3,0,0,'Données projet'!$E$9+1,1))</f>
        <v>252.28378247570731</v>
      </c>
      <c r="T167" s="59">
        <f t="shared" si="142"/>
        <v>263.50418595307343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2.066379132660336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2.7349653428216507E-19</v>
      </c>
      <c r="AC167" s="22">
        <f t="shared" si="163"/>
        <v>2.066379132660336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2.2737367544323206E-13</v>
      </c>
      <c r="AJ167" s="13">
        <f>AI167*VLOOKUP('Données projet'!$B$10,Paramètres!$A$1:$I$89,3,0)*VLOOKUP('Données projet'!$B$10,Paramètres!$A$1:$I$89,5,0)</f>
        <v>1.915395841933787E-13</v>
      </c>
      <c r="AK167" s="13">
        <f t="shared" si="164"/>
        <v>2.6678150060950022E-12</v>
      </c>
      <c r="AL167" s="20">
        <f t="shared" si="165"/>
        <v>4.9800425780855959E-12</v>
      </c>
      <c r="AM167" s="59">
        <f t="shared" si="113"/>
        <v>293.33333333333832</v>
      </c>
      <c r="AN167" s="59">
        <f ca="1">AVERAGE(OFFSET($AM$3,0,0,'Données projet'!$E$10+1,1))-AVERAGE(OFFSET($H$3,0,0,'Données projet'!$E$10+1,1))</f>
        <v>276.71735592065937</v>
      </c>
      <c r="AO167" s="59">
        <f t="shared" si="144"/>
        <v>159.98571289571038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108.5626822989547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108.5626822989547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2.7193891583010558E-13</v>
      </c>
      <c r="P168" s="13">
        <f t="shared" si="141"/>
        <v>3.6362267729089988E-12</v>
      </c>
      <c r="Q168" s="20">
        <f t="shared" si="162"/>
        <v>6.8067219078872727E-12</v>
      </c>
      <c r="R168" s="59">
        <f t="shared" si="109"/>
        <v>293.33333333334014</v>
      </c>
      <c r="S168" s="59">
        <f ca="1">AVERAGE(OFFSET($R$3,0,0,'Données projet'!$E$9+1,1))-AVERAGE(OFFSET($H$3,0,0,'Données projet'!$E$9+1,1))</f>
        <v>252.28378247570731</v>
      </c>
      <c r="T168" s="59">
        <f t="shared" si="142"/>
        <v>263.50418595307343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2.025858698235687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1.9339125402193799E-19</v>
      </c>
      <c r="AC168" s="22">
        <f t="shared" si="163"/>
        <v>2.025858698235687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2.2737367544323206E-13</v>
      </c>
      <c r="AJ168" s="13">
        <f>AI168*VLOOKUP('Données projet'!$B$10,Paramètres!$A$1:$I$89,3,0)*VLOOKUP('Données projet'!$B$10,Paramètres!$A$1:$I$89,5,0)</f>
        <v>1.915395841933787E-13</v>
      </c>
      <c r="AK168" s="13">
        <f t="shared" si="164"/>
        <v>2.6678150060950022E-12</v>
      </c>
      <c r="AL168" s="20">
        <f t="shared" si="165"/>
        <v>4.9800425780855959E-12</v>
      </c>
      <c r="AM168" s="59">
        <f t="shared" si="113"/>
        <v>293.33333333333832</v>
      </c>
      <c r="AN168" s="59">
        <f ca="1">AVERAGE(OFFSET($AM$3,0,0,'Données projet'!$E$10+1,1))-AVERAGE(OFFSET($H$3,0,0,'Données projet'!$E$10+1,1))</f>
        <v>276.71735592065937</v>
      </c>
      <c r="AO168" s="59">
        <f t="shared" si="144"/>
        <v>159.98571289571038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106.43383431577004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106.43383431577004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2.7193891583010558E-13</v>
      </c>
      <c r="P169" s="13">
        <f t="shared" si="141"/>
        <v>3.6362267729089988E-12</v>
      </c>
      <c r="Q169" s="20">
        <f t="shared" si="162"/>
        <v>6.8067219078872727E-12</v>
      </c>
      <c r="R169" s="59">
        <f t="shared" si="109"/>
        <v>293.33333333334014</v>
      </c>
      <c r="S169" s="59">
        <f ca="1">AVERAGE(OFFSET($R$3,0,0,'Données projet'!$E$9+1,1))-AVERAGE(OFFSET($H$3,0,0,'Données projet'!$E$9+1,1))</f>
        <v>252.28378247570731</v>
      </c>
      <c r="T169" s="59">
        <f t="shared" si="142"/>
        <v>263.50418595307343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1.9861328448150806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1.3674826714108254E-19</v>
      </c>
      <c r="AC169" s="22">
        <f t="shared" si="163"/>
        <v>1.9861328448150806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2.2737367544323206E-13</v>
      </c>
      <c r="AJ169" s="13">
        <f>AI169*VLOOKUP('Données projet'!$B$10,Paramètres!$A$1:$I$89,3,0)*VLOOKUP('Données projet'!$B$10,Paramètres!$A$1:$I$89,5,0)</f>
        <v>1.915395841933787E-13</v>
      </c>
      <c r="AK169" s="13">
        <f t="shared" si="164"/>
        <v>2.6678150060950022E-12</v>
      </c>
      <c r="AL169" s="20">
        <f t="shared" si="165"/>
        <v>4.9800425780855959E-12</v>
      </c>
      <c r="AM169" s="59">
        <f t="shared" si="113"/>
        <v>293.33333333333832</v>
      </c>
      <c r="AN169" s="59">
        <f ca="1">AVERAGE(OFFSET($AM$3,0,0,'Données projet'!$E$10+1,1))-AVERAGE(OFFSET($H$3,0,0,'Données projet'!$E$10+1,1))</f>
        <v>276.71735592065937</v>
      </c>
      <c r="AO169" s="59">
        <f t="shared" si="144"/>
        <v>159.98571289571038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104.34673174306658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104.34673174306658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2.7193891583010558E-13</v>
      </c>
      <c r="P170" s="13">
        <f t="shared" si="141"/>
        <v>3.6362267729089988E-12</v>
      </c>
      <c r="Q170" s="20">
        <f t="shared" si="162"/>
        <v>6.8067219078872727E-12</v>
      </c>
      <c r="R170" s="59">
        <f t="shared" si="109"/>
        <v>293.33333333334014</v>
      </c>
      <c r="S170" s="59">
        <f ca="1">AVERAGE(OFFSET($R$3,0,0,'Données projet'!$E$9+1,1))-AVERAGE(OFFSET($H$3,0,0,'Données projet'!$E$9+1,1))</f>
        <v>252.28378247570731</v>
      </c>
      <c r="T170" s="59">
        <f t="shared" si="142"/>
        <v>263.50418595307343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1.9471859911496743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9.6695627010968997E-20</v>
      </c>
      <c r="AC170" s="22">
        <f t="shared" si="163"/>
        <v>1.9471859911496743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2.2737367544323206E-13</v>
      </c>
      <c r="AJ170" s="13">
        <f>AI170*VLOOKUP('Données projet'!$B$10,Paramètres!$A$1:$I$89,3,0)*VLOOKUP('Données projet'!$B$10,Paramètres!$A$1:$I$89,5,0)</f>
        <v>1.915395841933787E-13</v>
      </c>
      <c r="AK170" s="13">
        <f t="shared" si="164"/>
        <v>2.6678150060950022E-12</v>
      </c>
      <c r="AL170" s="20">
        <f t="shared" si="165"/>
        <v>4.9800425780855959E-12</v>
      </c>
      <c r="AM170" s="59">
        <f t="shared" si="113"/>
        <v>293.33333333333832</v>
      </c>
      <c r="AN170" s="59">
        <f ca="1">AVERAGE(OFFSET($AM$3,0,0,'Données projet'!$E$10+1,1))-AVERAGE(OFFSET($H$3,0,0,'Données projet'!$E$10+1,1))</f>
        <v>276.71735592065937</v>
      </c>
      <c r="AO170" s="59">
        <f t="shared" si="144"/>
        <v>159.98571289571038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102.30055597880697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102.30055597880697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2.7193891583010558E-13</v>
      </c>
      <c r="P171" s="13">
        <f t="shared" si="141"/>
        <v>3.6362267729089988E-12</v>
      </c>
      <c r="Q171" s="20">
        <f t="shared" si="162"/>
        <v>6.8067219078872727E-12</v>
      </c>
      <c r="R171" s="59">
        <f t="shared" si="109"/>
        <v>293.33333333334014</v>
      </c>
      <c r="S171" s="59">
        <f ca="1">AVERAGE(OFFSET($R$3,0,0,'Données projet'!$E$9+1,1))-AVERAGE(OFFSET($H$3,0,0,'Données projet'!$E$9+1,1))</f>
        <v>252.28378247570731</v>
      </c>
      <c r="T171" s="59">
        <f t="shared" si="142"/>
        <v>263.50418595307343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1.9090028615294115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6.8374133570541268E-20</v>
      </c>
      <c r="AC171" s="22">
        <f t="shared" si="163"/>
        <v>1.9090028615294115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2.2737367544323206E-13</v>
      </c>
      <c r="AJ171" s="13">
        <f>AI171*VLOOKUP('Données projet'!$B$10,Paramètres!$A$1:$I$89,3,0)*VLOOKUP('Données projet'!$B$10,Paramètres!$A$1:$I$89,5,0)</f>
        <v>1.915395841933787E-13</v>
      </c>
      <c r="AK171" s="13">
        <f t="shared" si="164"/>
        <v>2.6678150060950022E-12</v>
      </c>
      <c r="AL171" s="20">
        <f t="shared" si="165"/>
        <v>4.9800425780855959E-12</v>
      </c>
      <c r="AM171" s="59">
        <f t="shared" si="113"/>
        <v>293.33333333333832</v>
      </c>
      <c r="AN171" s="59">
        <f ca="1">AVERAGE(OFFSET($AM$3,0,0,'Données projet'!$E$10+1,1))-AVERAGE(OFFSET($H$3,0,0,'Données projet'!$E$10+1,1))</f>
        <v>276.71735592065937</v>
      </c>
      <c r="AO171" s="59">
        <f t="shared" si="144"/>
        <v>159.98571289571038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100.29450447324051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100.29450447324051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2.7193891583010558E-13</v>
      </c>
      <c r="P172" s="13">
        <f t="shared" si="141"/>
        <v>3.6362267729089988E-12</v>
      </c>
      <c r="Q172" s="20">
        <f t="shared" si="162"/>
        <v>6.8067219078872727E-12</v>
      </c>
      <c r="R172" s="59">
        <f t="shared" si="109"/>
        <v>293.33333333334014</v>
      </c>
      <c r="S172" s="59">
        <f ca="1">AVERAGE(OFFSET($R$3,0,0,'Données projet'!$E$9+1,1))-AVERAGE(OFFSET($H$3,0,0,'Données projet'!$E$9+1,1))</f>
        <v>252.28378247570731</v>
      </c>
      <c r="T172" s="59">
        <f t="shared" si="142"/>
        <v>263.50418595307343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1.8715684797915926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4.8347813505484499E-20</v>
      </c>
      <c r="AC172" s="22">
        <f t="shared" si="163"/>
        <v>1.8715684797915926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2.2737367544323206E-13</v>
      </c>
      <c r="AJ172" s="13">
        <f>AI172*VLOOKUP('Données projet'!$B$10,Paramètres!$A$1:$I$89,3,0)*VLOOKUP('Données projet'!$B$10,Paramètres!$A$1:$I$89,5,0)</f>
        <v>1.915395841933787E-13</v>
      </c>
      <c r="AK172" s="13">
        <f t="shared" si="164"/>
        <v>2.6678150060950022E-12</v>
      </c>
      <c r="AL172" s="20">
        <f t="shared" si="165"/>
        <v>4.9800425780855959E-12</v>
      </c>
      <c r="AM172" s="59">
        <f t="shared" si="113"/>
        <v>293.33333333333832</v>
      </c>
      <c r="AN172" s="59">
        <f ca="1">AVERAGE(OFFSET($AM$3,0,0,'Données projet'!$E$10+1,1))-AVERAGE(OFFSET($H$3,0,0,'Données projet'!$E$10+1,1))</f>
        <v>276.71735592065937</v>
      </c>
      <c r="AO172" s="59">
        <f t="shared" si="144"/>
        <v>159.98571289571038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98.327790414127605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98.327790414127605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2.7193891583010558E-13</v>
      </c>
      <c r="P173" s="13">
        <f t="shared" si="141"/>
        <v>3.6362267729089988E-12</v>
      </c>
      <c r="Q173" s="20">
        <f t="shared" si="162"/>
        <v>6.8067219078872727E-12</v>
      </c>
      <c r="R173" s="59">
        <f t="shared" si="109"/>
        <v>293.33333333334014</v>
      </c>
      <c r="S173" s="59">
        <f ca="1">AVERAGE(OFFSET($R$3,0,0,'Données projet'!$E$9+1,1))-AVERAGE(OFFSET($H$3,0,0,'Données projet'!$E$9+1,1))</f>
        <v>252.28378247570731</v>
      </c>
      <c r="T173" s="59">
        <f t="shared" si="142"/>
        <v>263.50418595307343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1.8348681634469339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3.4187066785270634E-20</v>
      </c>
      <c r="AC173" s="22">
        <f t="shared" si="163"/>
        <v>1.8348681634469339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2.2737367544323206E-13</v>
      </c>
      <c r="AJ173" s="13">
        <f>AI173*VLOOKUP('Données projet'!$B$10,Paramètres!$A$1:$I$89,3,0)*VLOOKUP('Données projet'!$B$10,Paramètres!$A$1:$I$89,5,0)</f>
        <v>1.915395841933787E-13</v>
      </c>
      <c r="AK173" s="13">
        <f t="shared" si="164"/>
        <v>2.6678150060950022E-12</v>
      </c>
      <c r="AL173" s="20">
        <f t="shared" si="165"/>
        <v>4.9800425780855959E-12</v>
      </c>
      <c r="AM173" s="59">
        <f t="shared" si="113"/>
        <v>293.33333333333832</v>
      </c>
      <c r="AN173" s="59">
        <f ca="1">AVERAGE(OFFSET($AM$3,0,0,'Données projet'!$E$10+1,1))-AVERAGE(OFFSET($H$3,0,0,'Données projet'!$E$10+1,1))</f>
        <v>276.71735592065937</v>
      </c>
      <c r="AO173" s="59">
        <f t="shared" si="144"/>
        <v>159.98571289571038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96.399642418136779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96.399642418136779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2.7193891583010558E-13</v>
      </c>
      <c r="P174" s="13">
        <f t="shared" si="141"/>
        <v>3.6362267729089988E-12</v>
      </c>
      <c r="Q174" s="20">
        <f t="shared" si="162"/>
        <v>6.8067219078872727E-12</v>
      </c>
      <c r="R174" s="59">
        <f t="shared" si="109"/>
        <v>293.33333333334014</v>
      </c>
      <c r="S174" s="59">
        <f ca="1">AVERAGE(OFFSET($R$3,0,0,'Données projet'!$E$9+1,1))-AVERAGE(OFFSET($H$3,0,0,'Données projet'!$E$9+1,1))</f>
        <v>252.28378247570731</v>
      </c>
      <c r="T174" s="59">
        <f t="shared" si="142"/>
        <v>263.50418595307343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1.7988875179208115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2.4173906752742249E-20</v>
      </c>
      <c r="AC174" s="22">
        <f t="shared" si="163"/>
        <v>1.7988875179208115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2.2737367544323206E-13</v>
      </c>
      <c r="AJ174" s="13">
        <f>AI174*VLOOKUP('Données projet'!$B$10,Paramètres!$A$1:$I$89,3,0)*VLOOKUP('Données projet'!$B$10,Paramètres!$A$1:$I$89,5,0)</f>
        <v>1.915395841933787E-13</v>
      </c>
      <c r="AK174" s="13">
        <f t="shared" si="164"/>
        <v>2.6678150060950022E-12</v>
      </c>
      <c r="AL174" s="20">
        <f t="shared" si="165"/>
        <v>4.9800425780855959E-12</v>
      </c>
      <c r="AM174" s="59">
        <f t="shared" si="113"/>
        <v>293.33333333333832</v>
      </c>
      <c r="AN174" s="59">
        <f ca="1">AVERAGE(OFFSET($AM$3,0,0,'Données projet'!$E$10+1,1))-AVERAGE(OFFSET($H$3,0,0,'Données projet'!$E$10+1,1))</f>
        <v>276.71735592065937</v>
      </c>
      <c r="AO174" s="59">
        <f t="shared" si="144"/>
        <v>159.98571289571038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94.509304228293175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94.509304228293175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2.7193891583010558E-13</v>
      </c>
      <c r="P175" s="13">
        <f t="shared" si="141"/>
        <v>3.6362267729089988E-12</v>
      </c>
      <c r="Q175" s="20">
        <f t="shared" si="162"/>
        <v>6.8067219078872727E-12</v>
      </c>
      <c r="R175" s="59">
        <f t="shared" si="109"/>
        <v>293.33333333334014</v>
      </c>
      <c r="S175" s="59">
        <f ca="1">AVERAGE(OFFSET($R$3,0,0,'Données projet'!$E$9+1,1))-AVERAGE(OFFSET($H$3,0,0,'Données projet'!$E$9+1,1))</f>
        <v>252.28378247570731</v>
      </c>
      <c r="T175" s="59">
        <f t="shared" si="142"/>
        <v>263.50418595307343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1.7636124309074295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1.7093533392635317E-20</v>
      </c>
      <c r="AC175" s="22">
        <f t="shared" si="163"/>
        <v>1.7636124309074295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2.2737367544323206E-13</v>
      </c>
      <c r="AJ175" s="13">
        <f>AI175*VLOOKUP('Données projet'!$B$10,Paramètres!$A$1:$I$89,3,0)*VLOOKUP('Données projet'!$B$10,Paramètres!$A$1:$I$89,5,0)</f>
        <v>1.915395841933787E-13</v>
      </c>
      <c r="AK175" s="13">
        <f t="shared" si="164"/>
        <v>2.6678150060950022E-12</v>
      </c>
      <c r="AL175" s="20">
        <f t="shared" si="165"/>
        <v>4.9800425780855959E-12</v>
      </c>
      <c r="AM175" s="59">
        <f t="shared" si="113"/>
        <v>293.33333333333832</v>
      </c>
      <c r="AN175" s="59">
        <f ca="1">AVERAGE(OFFSET($AM$3,0,0,'Données projet'!$E$10+1,1))-AVERAGE(OFFSET($H$3,0,0,'Données projet'!$E$10+1,1))</f>
        <v>276.71735592065937</v>
      </c>
      <c r="AO175" s="59">
        <f t="shared" si="144"/>
        <v>159.98571289571038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92.656034417359962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92.656034417359962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2.7193891583010558E-13</v>
      </c>
      <c r="P176" s="13">
        <f t="shared" si="141"/>
        <v>3.6362267729089988E-12</v>
      </c>
      <c r="Q176" s="20">
        <f t="shared" si="162"/>
        <v>6.8067219078872727E-12</v>
      </c>
      <c r="R176" s="59">
        <f t="shared" si="109"/>
        <v>293.33333333334014</v>
      </c>
      <c r="S176" s="59">
        <f ca="1">AVERAGE(OFFSET($R$3,0,0,'Données projet'!$E$9+1,1))-AVERAGE(OFFSET($H$3,0,0,'Données projet'!$E$9+1,1))</f>
        <v>252.28378247570731</v>
      </c>
      <c r="T176" s="59">
        <f t="shared" si="142"/>
        <v>263.50418595307343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1.7290290668347013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1.2086953376371125E-20</v>
      </c>
      <c r="AC176" s="22">
        <f t="shared" si="163"/>
        <v>1.7290290668347013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2.2737367544323206E-13</v>
      </c>
      <c r="AJ176" s="13">
        <f>AI176*VLOOKUP('Données projet'!$B$10,Paramètres!$A$1:$I$89,3,0)*VLOOKUP('Données projet'!$B$10,Paramètres!$A$1:$I$89,5,0)</f>
        <v>1.915395841933787E-13</v>
      </c>
      <c r="AK176" s="13">
        <f t="shared" si="164"/>
        <v>2.6678150060950022E-12</v>
      </c>
      <c r="AL176" s="20">
        <f t="shared" si="165"/>
        <v>4.9800425780855959E-12</v>
      </c>
      <c r="AM176" s="59">
        <f t="shared" si="113"/>
        <v>293.33333333333832</v>
      </c>
      <c r="AN176" s="59">
        <f ca="1">AVERAGE(OFFSET($AM$3,0,0,'Données projet'!$E$10+1,1))-AVERAGE(OFFSET($H$3,0,0,'Données projet'!$E$10+1,1))</f>
        <v>276.71735592065937</v>
      </c>
      <c r="AO176" s="59">
        <f t="shared" si="144"/>
        <v>159.98571289571038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90.839106097036179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90.839106097036179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2.7193891583010558E-13</v>
      </c>
      <c r="P177" s="13">
        <f t="shared" si="141"/>
        <v>3.6362267729089988E-12</v>
      </c>
      <c r="Q177" s="20">
        <f t="shared" si="162"/>
        <v>6.8067219078872727E-12</v>
      </c>
      <c r="R177" s="59">
        <f t="shared" si="109"/>
        <v>293.33333333334014</v>
      </c>
      <c r="S177" s="59">
        <f ca="1">AVERAGE(OFFSET($R$3,0,0,'Données projet'!$E$9+1,1))-AVERAGE(OFFSET($H$3,0,0,'Données projet'!$E$9+1,1))</f>
        <v>252.28378247570731</v>
      </c>
      <c r="T177" s="59">
        <f t="shared" si="142"/>
        <v>263.50418595307343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1.69512386143767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8.5467666963176586E-21</v>
      </c>
      <c r="AC177" s="22">
        <f t="shared" si="163"/>
        <v>1.69512386143767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2.2737367544323206E-13</v>
      </c>
      <c r="AJ177" s="13">
        <f>AI177*VLOOKUP('Données projet'!$B$10,Paramètres!$A$1:$I$89,3,0)*VLOOKUP('Données projet'!$B$10,Paramètres!$A$1:$I$89,5,0)</f>
        <v>1.915395841933787E-13</v>
      </c>
      <c r="AK177" s="13">
        <f t="shared" si="164"/>
        <v>2.6678150060950022E-12</v>
      </c>
      <c r="AL177" s="20">
        <f t="shared" si="165"/>
        <v>4.9800425780855959E-12</v>
      </c>
      <c r="AM177" s="59">
        <f t="shared" si="113"/>
        <v>293.33333333333832</v>
      </c>
      <c r="AN177" s="59">
        <f ca="1">AVERAGE(OFFSET($AM$3,0,0,'Données projet'!$E$10+1,1))-AVERAGE(OFFSET($H$3,0,0,'Données projet'!$E$10+1,1))</f>
        <v>276.71735592065937</v>
      </c>
      <c r="AO177" s="59">
        <f t="shared" si="144"/>
        <v>159.98571289571038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89.057806632857094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89.057806632857094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2.7193891583010558E-13</v>
      </c>
      <c r="P178" s="13">
        <f t="shared" si="141"/>
        <v>3.6362267729089988E-12</v>
      </c>
      <c r="Q178" s="20">
        <f t="shared" si="162"/>
        <v>6.8067219078872727E-12</v>
      </c>
      <c r="R178" s="59">
        <f t="shared" si="109"/>
        <v>293.33333333334014</v>
      </c>
      <c r="S178" s="59">
        <f ca="1">AVERAGE(OFFSET($R$3,0,0,'Données projet'!$E$9+1,1))-AVERAGE(OFFSET($H$3,0,0,'Données projet'!$E$9+1,1))</f>
        <v>252.28378247570731</v>
      </c>
      <c r="T178" s="59">
        <f t="shared" si="142"/>
        <v>263.50418595307343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1.6618835164383414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6.0434766881855623E-21</v>
      </c>
      <c r="AC178" s="22">
        <f t="shared" si="163"/>
        <v>1.6618835164383414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2.2737367544323206E-13</v>
      </c>
      <c r="AJ178" s="13">
        <f>AI178*VLOOKUP('Données projet'!$B$10,Paramètres!$A$1:$I$89,3,0)*VLOOKUP('Données projet'!$B$10,Paramètres!$A$1:$I$89,5,0)</f>
        <v>1.915395841933787E-13</v>
      </c>
      <c r="AK178" s="13">
        <f t="shared" si="164"/>
        <v>2.6678150060950022E-12</v>
      </c>
      <c r="AL178" s="20">
        <f t="shared" si="165"/>
        <v>4.9800425780855959E-12</v>
      </c>
      <c r="AM178" s="59">
        <f t="shared" si="113"/>
        <v>293.33333333333832</v>
      </c>
      <c r="AN178" s="59">
        <f ca="1">AVERAGE(OFFSET($AM$3,0,0,'Données projet'!$E$10+1,1))-AVERAGE(OFFSET($H$3,0,0,'Données projet'!$E$10+1,1))</f>
        <v>276.71735592065937</v>
      </c>
      <c r="AO178" s="59">
        <f t="shared" si="144"/>
        <v>159.98571289571038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87.311437364685162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87.311437364685162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2.7193891583010558E-13</v>
      </c>
      <c r="P179" s="13">
        <f t="shared" si="141"/>
        <v>3.6362267729089988E-12</v>
      </c>
      <c r="Q179" s="20">
        <f t="shared" si="162"/>
        <v>6.8067219078872727E-12</v>
      </c>
      <c r="R179" s="59">
        <f t="shared" si="109"/>
        <v>293.33333333334014</v>
      </c>
      <c r="S179" s="59">
        <f ca="1">AVERAGE(OFFSET($R$3,0,0,'Données projet'!$E$9+1,1))-AVERAGE(OFFSET($H$3,0,0,'Données projet'!$E$9+1,1))</f>
        <v>252.28378247570731</v>
      </c>
      <c r="T179" s="59">
        <f t="shared" si="142"/>
        <v>263.50418595307343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1.6292949943298412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4.2733833481588293E-21</v>
      </c>
      <c r="AC179" s="22">
        <f t="shared" si="163"/>
        <v>1.6292949943298412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2.2737367544323206E-13</v>
      </c>
      <c r="AJ179" s="13">
        <f>AI179*VLOOKUP('Données projet'!$B$10,Paramètres!$A$1:$I$89,3,0)*VLOOKUP('Données projet'!$B$10,Paramètres!$A$1:$I$89,5,0)</f>
        <v>1.915395841933787E-13</v>
      </c>
      <c r="AK179" s="13">
        <f t="shared" si="164"/>
        <v>2.6678150060950022E-12</v>
      </c>
      <c r="AL179" s="20">
        <f t="shared" si="165"/>
        <v>4.9800425780855959E-12</v>
      </c>
      <c r="AM179" s="59">
        <f t="shared" si="113"/>
        <v>293.33333333333832</v>
      </c>
      <c r="AN179" s="59">
        <f ca="1">AVERAGE(OFFSET($AM$3,0,0,'Données projet'!$E$10+1,1))-AVERAGE(OFFSET($H$3,0,0,'Données projet'!$E$10+1,1))</f>
        <v>276.71735592065937</v>
      </c>
      <c r="AO179" s="59">
        <f t="shared" si="144"/>
        <v>159.98571289571038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85.599313332682016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85.599313332682016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2.7193891583010558E-13</v>
      </c>
      <c r="P180" s="13">
        <f t="shared" si="141"/>
        <v>3.6362267729089988E-12</v>
      </c>
      <c r="Q180" s="20">
        <f t="shared" si="162"/>
        <v>6.8067219078872727E-12</v>
      </c>
      <c r="R180" s="59">
        <f t="shared" si="109"/>
        <v>293.33333333334014</v>
      </c>
      <c r="S180" s="59">
        <f ca="1">AVERAGE(OFFSET($R$3,0,0,'Données projet'!$E$9+1,1))-AVERAGE(OFFSET($H$3,0,0,'Données projet'!$E$9+1,1))</f>
        <v>252.28378247570731</v>
      </c>
      <c r="T180" s="59">
        <f t="shared" si="142"/>
        <v>263.50418595307343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1.5973455132628527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3.0217383440927812E-21</v>
      </c>
      <c r="AC180" s="22">
        <f t="shared" si="163"/>
        <v>1.5973455132628527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2.2737367544323206E-13</v>
      </c>
      <c r="AJ180" s="13">
        <f>AI180*VLOOKUP('Données projet'!$B$10,Paramètres!$A$1:$I$89,3,0)*VLOOKUP('Données projet'!$B$10,Paramètres!$A$1:$I$89,5,0)</f>
        <v>1.915395841933787E-13</v>
      </c>
      <c r="AK180" s="13">
        <f t="shared" si="164"/>
        <v>2.6678150060950022E-12</v>
      </c>
      <c r="AL180" s="20">
        <f t="shared" si="165"/>
        <v>4.9800425780855959E-12</v>
      </c>
      <c r="AM180" s="59">
        <f t="shared" si="113"/>
        <v>293.33333333333832</v>
      </c>
      <c r="AN180" s="59">
        <f ca="1">AVERAGE(OFFSET($AM$3,0,0,'Données projet'!$E$10+1,1))-AVERAGE(OFFSET($H$3,0,0,'Données projet'!$E$10+1,1))</f>
        <v>276.71735592065937</v>
      </c>
      <c r="AO180" s="59">
        <f t="shared" si="144"/>
        <v>159.98571289571038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83.920763008653907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83.920763008653907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2.7193891583010558E-13</v>
      </c>
      <c r="P181" s="13">
        <f t="shared" si="141"/>
        <v>3.6362267729089988E-12</v>
      </c>
      <c r="Q181" s="20">
        <f t="shared" si="162"/>
        <v>6.8067219078872727E-12</v>
      </c>
      <c r="R181" s="59">
        <f t="shared" si="109"/>
        <v>293.33333333334014</v>
      </c>
      <c r="S181" s="59">
        <f ca="1">AVERAGE(OFFSET($R$3,0,0,'Données projet'!$E$9+1,1))-AVERAGE(OFFSET($H$3,0,0,'Données projet'!$E$9+1,1))</f>
        <v>252.28378247570731</v>
      </c>
      <c r="T181" s="59">
        <f t="shared" si="142"/>
        <v>263.50418595307343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1.5660225420323286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2.1366916740794146E-21</v>
      </c>
      <c r="AC181" s="22">
        <f t="shared" si="163"/>
        <v>1.5660225420323286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2.2737367544323206E-13</v>
      </c>
      <c r="AJ181" s="13">
        <f>AI181*VLOOKUP('Données projet'!$B$10,Paramètres!$A$1:$I$89,3,0)*VLOOKUP('Données projet'!$B$10,Paramètres!$A$1:$I$89,5,0)</f>
        <v>1.915395841933787E-13</v>
      </c>
      <c r="AK181" s="13">
        <f t="shared" si="164"/>
        <v>2.6678150060950022E-12</v>
      </c>
      <c r="AL181" s="20">
        <f t="shared" si="165"/>
        <v>4.9800425780855959E-12</v>
      </c>
      <c r="AM181" s="59">
        <f t="shared" si="113"/>
        <v>293.33333333333832</v>
      </c>
      <c r="AN181" s="59">
        <f ca="1">AVERAGE(OFFSET($AM$3,0,0,'Données projet'!$E$10+1,1))-AVERAGE(OFFSET($H$3,0,0,'Données projet'!$E$10+1,1))</f>
        <v>276.71735592065937</v>
      </c>
      <c r="AO181" s="59">
        <f t="shared" si="144"/>
        <v>159.98571289571038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82.275128032665378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82.275128032665378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2.7193891583010558E-13</v>
      </c>
      <c r="P182" s="13">
        <f t="shared" si="141"/>
        <v>3.6362267729089988E-12</v>
      </c>
      <c r="Q182" s="20">
        <f t="shared" si="162"/>
        <v>6.8067219078872727E-12</v>
      </c>
      <c r="R182" s="59">
        <f t="shared" si="109"/>
        <v>293.33333333334014</v>
      </c>
      <c r="S182" s="59">
        <f ca="1">AVERAGE(OFFSET($R$3,0,0,'Données projet'!$E$9+1,1))-AVERAGE(OFFSET($H$3,0,0,'Données projet'!$E$9+1,1))</f>
        <v>252.28378247570731</v>
      </c>
      <c r="T182" s="59">
        <f t="shared" si="142"/>
        <v>263.50418595307343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1.5353137951625091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1.5108691720463906E-21</v>
      </c>
      <c r="AC182" s="22">
        <f t="shared" si="163"/>
        <v>1.5353137951625091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2.2737367544323206E-13</v>
      </c>
      <c r="AJ182" s="13">
        <f>AI182*VLOOKUP('Données projet'!$B$10,Paramètres!$A$1:$I$89,3,0)*VLOOKUP('Données projet'!$B$10,Paramètres!$A$1:$I$89,5,0)</f>
        <v>1.915395841933787E-13</v>
      </c>
      <c r="AK182" s="13">
        <f t="shared" si="164"/>
        <v>2.6678150060950022E-12</v>
      </c>
      <c r="AL182" s="20">
        <f t="shared" si="165"/>
        <v>4.9800425780855959E-12</v>
      </c>
      <c r="AM182" s="59">
        <f t="shared" si="113"/>
        <v>293.33333333333832</v>
      </c>
      <c r="AN182" s="59">
        <f ca="1">AVERAGE(OFFSET($AM$3,0,0,'Données projet'!$E$10+1,1))-AVERAGE(OFFSET($H$3,0,0,'Données projet'!$E$10+1,1))</f>
        <v>276.71735592065937</v>
      </c>
      <c r="AO182" s="59">
        <f t="shared" si="144"/>
        <v>159.98571289571038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80.66176295481776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80.66176295481776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2.7193891583010558E-13</v>
      </c>
      <c r="P183" s="13">
        <f t="shared" si="141"/>
        <v>3.6362267729089988E-12</v>
      </c>
      <c r="Q183" s="20">
        <f t="shared" si="162"/>
        <v>6.8067219078872727E-12</v>
      </c>
      <c r="R183" s="59">
        <f t="shared" si="109"/>
        <v>293.33333333334014</v>
      </c>
      <c r="S183" s="59">
        <f ca="1">AVERAGE(OFFSET($R$3,0,0,'Données projet'!$E$9+1,1))-AVERAGE(OFFSET($H$3,0,0,'Données projet'!$E$9+1,1))</f>
        <v>252.28378247570731</v>
      </c>
      <c r="T183" s="59">
        <f t="shared" si="142"/>
        <v>263.50418595307343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1.5052072280883206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1.0683458370397073E-21</v>
      </c>
      <c r="AC183" s="22">
        <f t="shared" si="163"/>
        <v>1.5052072280883206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2.2737367544323206E-13</v>
      </c>
      <c r="AJ183" s="13">
        <f>AI183*VLOOKUP('Données projet'!$B$10,Paramètres!$A$1:$I$89,3,0)*VLOOKUP('Données projet'!$B$10,Paramètres!$A$1:$I$89,5,0)</f>
        <v>1.915395841933787E-13</v>
      </c>
      <c r="AK183" s="13">
        <f t="shared" si="164"/>
        <v>2.6678150060950022E-12</v>
      </c>
      <c r="AL183" s="20">
        <f t="shared" si="165"/>
        <v>4.9800425780855959E-12</v>
      </c>
      <c r="AM183" s="59">
        <f t="shared" si="113"/>
        <v>293.33333333333832</v>
      </c>
      <c r="AN183" s="59">
        <f ca="1">AVERAGE(OFFSET($AM$3,0,0,'Données projet'!$E$10+1,1))-AVERAGE(OFFSET($H$3,0,0,'Données projet'!$E$10+1,1))</f>
        <v>276.71735592065937</v>
      </c>
      <c r="AO183" s="59">
        <f t="shared" si="144"/>
        <v>159.98571289571038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79.080034982091206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79.080034982091206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2.7193891583010558E-13</v>
      </c>
      <c r="P184" s="13">
        <f t="shared" si="141"/>
        <v>3.6362267729089988E-12</v>
      </c>
      <c r="Q184" s="20">
        <f t="shared" si="162"/>
        <v>6.8067219078872727E-12</v>
      </c>
      <c r="R184" s="59">
        <f t="shared" si="109"/>
        <v>293.33333333334014</v>
      </c>
      <c r="S184" s="59">
        <f ca="1">AVERAGE(OFFSET($R$3,0,0,'Données projet'!$E$9+1,1))-AVERAGE(OFFSET($H$3,0,0,'Données projet'!$E$9+1,1))</f>
        <v>252.28378247570731</v>
      </c>
      <c r="T184" s="59">
        <f t="shared" si="142"/>
        <v>263.50418595307343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1.4756910324312644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7.5543458602319529E-22</v>
      </c>
      <c r="AC184" s="22">
        <f t="shared" si="163"/>
        <v>1.4756910324312644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2.2737367544323206E-13</v>
      </c>
      <c r="AJ184" s="13">
        <f>AI184*VLOOKUP('Données projet'!$B$10,Paramètres!$A$1:$I$89,3,0)*VLOOKUP('Données projet'!$B$10,Paramètres!$A$1:$I$89,5,0)</f>
        <v>1.915395841933787E-13</v>
      </c>
      <c r="AK184" s="13">
        <f t="shared" si="164"/>
        <v>2.6678150060950022E-12</v>
      </c>
      <c r="AL184" s="20">
        <f t="shared" si="165"/>
        <v>4.9800425780855959E-12</v>
      </c>
      <c r="AM184" s="59">
        <f t="shared" si="113"/>
        <v>293.33333333333832</v>
      </c>
      <c r="AN184" s="59">
        <f ca="1">AVERAGE(OFFSET($AM$3,0,0,'Données projet'!$E$10+1,1))-AVERAGE(OFFSET($H$3,0,0,'Données projet'!$E$10+1,1))</f>
        <v>276.71735592065937</v>
      </c>
      <c r="AO184" s="59">
        <f t="shared" si="144"/>
        <v>159.98571289571038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77.52932373015102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77.52932373015102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2.7193891583010558E-13</v>
      </c>
      <c r="P185" s="13">
        <f t="shared" si="141"/>
        <v>3.6362267729089988E-12</v>
      </c>
      <c r="Q185" s="20">
        <f t="shared" si="162"/>
        <v>6.8067219078872727E-12</v>
      </c>
      <c r="R185" s="59">
        <f t="shared" si="109"/>
        <v>293.33333333334014</v>
      </c>
      <c r="S185" s="59">
        <f ca="1">AVERAGE(OFFSET($R$3,0,0,'Données projet'!$E$9+1,1))-AVERAGE(OFFSET($H$3,0,0,'Données projet'!$E$9+1,1))</f>
        <v>252.28378247570731</v>
      </c>
      <c r="T185" s="59">
        <f t="shared" si="142"/>
        <v>263.50418595307343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1.4467536313679414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5.3417291851985366E-22</v>
      </c>
      <c r="AC185" s="22">
        <f t="shared" si="163"/>
        <v>1.4467536313679414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2.2737367544323206E-13</v>
      </c>
      <c r="AJ185" s="13">
        <f>AI185*VLOOKUP('Données projet'!$B$10,Paramètres!$A$1:$I$89,3,0)*VLOOKUP('Données projet'!$B$10,Paramètres!$A$1:$I$89,5,0)</f>
        <v>1.915395841933787E-13</v>
      </c>
      <c r="AK185" s="13">
        <f t="shared" si="164"/>
        <v>2.6678150060950022E-12</v>
      </c>
      <c r="AL185" s="20">
        <f t="shared" si="165"/>
        <v>4.9800425780855959E-12</v>
      </c>
      <c r="AM185" s="59">
        <f t="shared" si="113"/>
        <v>293.33333333333832</v>
      </c>
      <c r="AN185" s="59">
        <f ca="1">AVERAGE(OFFSET($AM$3,0,0,'Données projet'!$E$10+1,1))-AVERAGE(OFFSET($H$3,0,0,'Données projet'!$E$10+1,1))</f>
        <v>276.71735592065937</v>
      </c>
      <c r="AO185" s="59">
        <f t="shared" si="144"/>
        <v>159.98571289571038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76.009020980020907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76.009020980020907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2.7193891583010558E-13</v>
      </c>
      <c r="P186" s="13">
        <f t="shared" si="141"/>
        <v>3.6362267729089988E-12</v>
      </c>
      <c r="Q186" s="20">
        <f t="shared" si="162"/>
        <v>6.8067219078872727E-12</v>
      </c>
      <c r="R186" s="59">
        <f t="shared" si="109"/>
        <v>293.33333333334014</v>
      </c>
      <c r="S186" s="59">
        <f ca="1">AVERAGE(OFFSET($R$3,0,0,'Données projet'!$E$9+1,1))-AVERAGE(OFFSET($H$3,0,0,'Données projet'!$E$9+1,1))</f>
        <v>252.28378247570731</v>
      </c>
      <c r="T186" s="59">
        <f t="shared" si="142"/>
        <v>263.50418595307343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1.4183836750893983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3.7771729301159765E-22</v>
      </c>
      <c r="AC186" s="22">
        <f t="shared" si="163"/>
        <v>1.4183836750893983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2.2737367544323206E-13</v>
      </c>
      <c r="AJ186" s="13">
        <f>AI186*VLOOKUP('Données projet'!$B$10,Paramètres!$A$1:$I$89,3,0)*VLOOKUP('Données projet'!$B$10,Paramètres!$A$1:$I$89,5,0)</f>
        <v>1.915395841933787E-13</v>
      </c>
      <c r="AK186" s="13">
        <f t="shared" si="164"/>
        <v>2.6678150060950022E-12</v>
      </c>
      <c r="AL186" s="20">
        <f t="shared" si="165"/>
        <v>4.9800425780855959E-12</v>
      </c>
      <c r="AM186" s="59">
        <f t="shared" si="113"/>
        <v>293.33333333333832</v>
      </c>
      <c r="AN186" s="59">
        <f ca="1">AVERAGE(OFFSET($AM$3,0,0,'Données projet'!$E$10+1,1))-AVERAGE(OFFSET($H$3,0,0,'Données projet'!$E$10+1,1))</f>
        <v>276.71735592065937</v>
      </c>
      <c r="AO186" s="59">
        <f t="shared" si="144"/>
        <v>159.98571289571038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74.518530439527737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74.518530439527737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2.7193891583010558E-13</v>
      </c>
      <c r="P187" s="13">
        <f t="shared" si="141"/>
        <v>3.6362267729089988E-12</v>
      </c>
      <c r="Q187" s="20">
        <f t="shared" si="162"/>
        <v>6.8067219078872727E-12</v>
      </c>
      <c r="R187" s="59">
        <f t="shared" si="109"/>
        <v>293.33333333334014</v>
      </c>
      <c r="S187" s="59">
        <f ca="1">AVERAGE(OFFSET($R$3,0,0,'Données projet'!$E$9+1,1))-AVERAGE(OFFSET($H$3,0,0,'Données projet'!$E$9+1,1))</f>
        <v>252.28378247570731</v>
      </c>
      <c r="T187" s="59">
        <f t="shared" si="142"/>
        <v>263.50418595307343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1.3905700363495126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2.6708645925992683E-22</v>
      </c>
      <c r="AC187" s="22">
        <f t="shared" si="163"/>
        <v>1.3905700363495126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2.2737367544323206E-13</v>
      </c>
      <c r="AJ187" s="13">
        <f>AI187*VLOOKUP('Données projet'!$B$10,Paramètres!$A$1:$I$89,3,0)*VLOOKUP('Données projet'!$B$10,Paramètres!$A$1:$I$89,5,0)</f>
        <v>1.915395841933787E-13</v>
      </c>
      <c r="AK187" s="13">
        <f t="shared" si="164"/>
        <v>2.6678150060950022E-12</v>
      </c>
      <c r="AL187" s="20">
        <f t="shared" si="165"/>
        <v>4.9800425780855959E-12</v>
      </c>
      <c r="AM187" s="59">
        <f t="shared" si="113"/>
        <v>293.33333333333832</v>
      </c>
      <c r="AN187" s="59">
        <f ca="1">AVERAGE(OFFSET($AM$3,0,0,'Données projet'!$E$10+1,1))-AVERAGE(OFFSET($H$3,0,0,'Données projet'!$E$10+1,1))</f>
        <v>276.71735592065937</v>
      </c>
      <c r="AO187" s="59">
        <f t="shared" si="144"/>
        <v>159.98571289571038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73.057267509424179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73.057267509424179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2.7193891583010558E-13</v>
      </c>
      <c r="P188" s="13">
        <f t="shared" si="141"/>
        <v>3.6362267729089988E-12</v>
      </c>
      <c r="Q188" s="20">
        <f t="shared" si="162"/>
        <v>6.8067219078872727E-12</v>
      </c>
      <c r="R188" s="59">
        <f t="shared" si="109"/>
        <v>293.33333333334014</v>
      </c>
      <c r="S188" s="59">
        <f ca="1">AVERAGE(OFFSET($R$3,0,0,'Données projet'!$E$9+1,1))-AVERAGE(OFFSET($H$3,0,0,'Données projet'!$E$9+1,1))</f>
        <v>252.28378247570731</v>
      </c>
      <c r="T188" s="59">
        <f t="shared" si="142"/>
        <v>263.50418595307343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1.3633018061006716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1.8885864650579882E-22</v>
      </c>
      <c r="AC188" s="22">
        <f t="shared" si="163"/>
        <v>1.3633018061006716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2.2737367544323206E-13</v>
      </c>
      <c r="AJ188" s="13">
        <f>AI188*VLOOKUP('Données projet'!$B$10,Paramètres!$A$1:$I$89,3,0)*VLOOKUP('Données projet'!$B$10,Paramètres!$A$1:$I$89,5,0)</f>
        <v>1.915395841933787E-13</v>
      </c>
      <c r="AK188" s="13">
        <f t="shared" si="164"/>
        <v>2.6678150060950022E-12</v>
      </c>
      <c r="AL188" s="20">
        <f t="shared" si="165"/>
        <v>4.9800425780855959E-12</v>
      </c>
      <c r="AM188" s="59">
        <f t="shared" si="113"/>
        <v>293.33333333333832</v>
      </c>
      <c r="AN188" s="59">
        <f ca="1">AVERAGE(OFFSET($AM$3,0,0,'Données projet'!$E$10+1,1))-AVERAGE(OFFSET($H$3,0,0,'Données projet'!$E$10+1,1))</f>
        <v>276.71735592065937</v>
      </c>
      <c r="AO188" s="59">
        <f t="shared" si="144"/>
        <v>159.98571289571038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71.624659054097563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71.624659054097563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2.7193891583010558E-13</v>
      </c>
      <c r="P189" s="13">
        <f t="shared" si="141"/>
        <v>3.6362267729089988E-12</v>
      </c>
      <c r="Q189" s="20">
        <f t="shared" si="162"/>
        <v>6.8067219078872727E-12</v>
      </c>
      <c r="R189" s="59">
        <f t="shared" si="109"/>
        <v>293.33333333334014</v>
      </c>
      <c r="S189" s="59">
        <f ca="1">AVERAGE(OFFSET($R$3,0,0,'Données projet'!$E$9+1,1))-AVERAGE(OFFSET($H$3,0,0,'Données projet'!$E$9+1,1))</f>
        <v>252.28378247570731</v>
      </c>
      <c r="T189" s="59">
        <f t="shared" si="142"/>
        <v>263.50418595307343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1.3365682892150321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1.3354322962996341E-22</v>
      </c>
      <c r="AC189" s="22">
        <f t="shared" si="163"/>
        <v>1.3365682892150321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2.2737367544323206E-13</v>
      </c>
      <c r="AJ189" s="13">
        <f>AI189*VLOOKUP('Données projet'!$B$10,Paramètres!$A$1:$I$89,3,0)*VLOOKUP('Données projet'!$B$10,Paramètres!$A$1:$I$89,5,0)</f>
        <v>1.915395841933787E-13</v>
      </c>
      <c r="AK189" s="13">
        <f t="shared" si="164"/>
        <v>2.6678150060950022E-12</v>
      </c>
      <c r="AL189" s="20">
        <f t="shared" si="165"/>
        <v>4.9800425780855959E-12</v>
      </c>
      <c r="AM189" s="59">
        <f t="shared" si="113"/>
        <v>293.33333333333832</v>
      </c>
      <c r="AN189" s="59">
        <f ca="1">AVERAGE(OFFSET($AM$3,0,0,'Données projet'!$E$10+1,1))-AVERAGE(OFFSET($H$3,0,0,'Données projet'!$E$10+1,1))</f>
        <v>276.71735592065937</v>
      </c>
      <c r="AO189" s="59">
        <f t="shared" si="144"/>
        <v>159.98571289571038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70.220143176775025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70.220143176775025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2.7193891583010558E-13</v>
      </c>
      <c r="P190" s="13">
        <f t="shared" si="141"/>
        <v>3.6362267729089988E-12</v>
      </c>
      <c r="Q190" s="20">
        <f t="shared" si="162"/>
        <v>6.8067219078872727E-12</v>
      </c>
      <c r="R190" s="59">
        <f t="shared" si="109"/>
        <v>293.33333333334014</v>
      </c>
      <c r="S190" s="59">
        <f ca="1">AVERAGE(OFFSET($R$3,0,0,'Données projet'!$E$9+1,1))-AVERAGE(OFFSET($H$3,0,0,'Données projet'!$E$9+1,1))</f>
        <v>252.28378247570731</v>
      </c>
      <c r="T190" s="59">
        <f t="shared" si="142"/>
        <v>263.50418595307343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1.3103590002896848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9.4429323252899412E-23</v>
      </c>
      <c r="AC190" s="22">
        <f t="shared" si="163"/>
        <v>1.3103590002896848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2.2737367544323206E-13</v>
      </c>
      <c r="AJ190" s="13">
        <f>AI190*VLOOKUP('Données projet'!$B$10,Paramètres!$A$1:$I$89,3,0)*VLOOKUP('Données projet'!$B$10,Paramètres!$A$1:$I$89,5,0)</f>
        <v>1.915395841933787E-13</v>
      </c>
      <c r="AK190" s="13">
        <f t="shared" si="164"/>
        <v>2.6678150060950022E-12</v>
      </c>
      <c r="AL190" s="20">
        <f t="shared" si="165"/>
        <v>4.9800425780855959E-12</v>
      </c>
      <c r="AM190" s="59">
        <f t="shared" si="113"/>
        <v>293.33333333333832</v>
      </c>
      <c r="AN190" s="59">
        <f ca="1">AVERAGE(OFFSET($AM$3,0,0,'Données projet'!$E$10+1,1))-AVERAGE(OFFSET($H$3,0,0,'Données projet'!$E$10+1,1))</f>
        <v>276.71735592065937</v>
      </c>
      <c r="AO190" s="59">
        <f t="shared" si="144"/>
        <v>159.98571289571038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68.843168999136694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68.843168999136694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2.7193891583010558E-13</v>
      </c>
      <c r="P191" s="13">
        <f t="shared" si="141"/>
        <v>3.6362267729089988E-12</v>
      </c>
      <c r="Q191" s="20">
        <f t="shared" si="162"/>
        <v>6.8067219078872727E-12</v>
      </c>
      <c r="R191" s="59">
        <f t="shared" si="109"/>
        <v>293.33333333334014</v>
      </c>
      <c r="S191" s="59">
        <f ca="1">AVERAGE(OFFSET($R$3,0,0,'Données projet'!$E$9+1,1))-AVERAGE(OFFSET($H$3,0,0,'Données projet'!$E$9+1,1))</f>
        <v>252.28378247570731</v>
      </c>
      <c r="T191" s="59">
        <f t="shared" si="142"/>
        <v>263.50418595307343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1.2846636595340759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6.6771614814981707E-23</v>
      </c>
      <c r="AC191" s="22">
        <f t="shared" si="163"/>
        <v>1.2846636595340759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2.2737367544323206E-13</v>
      </c>
      <c r="AJ191" s="13">
        <f>AI191*VLOOKUP('Données projet'!$B$10,Paramètres!$A$1:$I$89,3,0)*VLOOKUP('Données projet'!$B$10,Paramètres!$A$1:$I$89,5,0)</f>
        <v>1.915395841933787E-13</v>
      </c>
      <c r="AK191" s="13">
        <f t="shared" si="164"/>
        <v>2.6678150060950022E-12</v>
      </c>
      <c r="AL191" s="20">
        <f t="shared" si="165"/>
        <v>4.9800425780855959E-12</v>
      </c>
      <c r="AM191" s="59">
        <f t="shared" si="113"/>
        <v>293.33333333333832</v>
      </c>
      <c r="AN191" s="59">
        <f ca="1">AVERAGE(OFFSET($AM$3,0,0,'Données projet'!$E$10+1,1))-AVERAGE(OFFSET($H$3,0,0,'Données projet'!$E$10+1,1))</f>
        <v>276.71735592065937</v>
      </c>
      <c r="AO191" s="59">
        <f t="shared" si="144"/>
        <v>159.98571289571038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67.493196445250533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67.493196445250533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2.7193891583010558E-13</v>
      </c>
      <c r="P192" s="13">
        <f t="shared" si="141"/>
        <v>3.6362267729089988E-12</v>
      </c>
      <c r="Q192" s="20">
        <f t="shared" si="162"/>
        <v>6.8067219078872727E-12</v>
      </c>
      <c r="R192" s="59">
        <f t="shared" si="109"/>
        <v>293.33333333334014</v>
      </c>
      <c r="S192" s="59">
        <f ca="1">AVERAGE(OFFSET($R$3,0,0,'Données projet'!$E$9+1,1))-AVERAGE(OFFSET($H$3,0,0,'Données projet'!$E$9+1,1))</f>
        <v>252.28378247570731</v>
      </c>
      <c r="T192" s="59">
        <f t="shared" si="142"/>
        <v>263.50418595307343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1.2594721887380742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4.7214661626449706E-23</v>
      </c>
      <c r="AC192" s="22">
        <f t="shared" si="163"/>
        <v>1.2594721887380742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2.2737367544323206E-13</v>
      </c>
      <c r="AJ192" s="13">
        <f>AI192*VLOOKUP('Données projet'!$B$10,Paramètres!$A$1:$I$89,3,0)*VLOOKUP('Données projet'!$B$10,Paramètres!$A$1:$I$89,5,0)</f>
        <v>1.915395841933787E-13</v>
      </c>
      <c r="AK192" s="13">
        <f t="shared" si="164"/>
        <v>2.6678150060950022E-12</v>
      </c>
      <c r="AL192" s="20">
        <f t="shared" si="165"/>
        <v>4.9800425780855959E-12</v>
      </c>
      <c r="AM192" s="59">
        <f t="shared" si="113"/>
        <v>293.33333333333832</v>
      </c>
      <c r="AN192" s="59">
        <f ca="1">AVERAGE(OFFSET($AM$3,0,0,'Données projet'!$E$10+1,1))-AVERAGE(OFFSET($H$3,0,0,'Données projet'!$E$10+1,1))</f>
        <v>276.71735592065937</v>
      </c>
      <c r="AO192" s="59">
        <f t="shared" si="144"/>
        <v>159.98571289571038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66.169696029744117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66.169696029744117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2.7193891583010558E-13</v>
      </c>
      <c r="P193" s="13">
        <f t="shared" si="141"/>
        <v>3.6362267729089988E-12</v>
      </c>
      <c r="Q193" s="20">
        <f t="shared" si="162"/>
        <v>6.8067219078872727E-12</v>
      </c>
      <c r="R193" s="59">
        <f t="shared" si="109"/>
        <v>293.33333333334014</v>
      </c>
      <c r="S193" s="59">
        <f ca="1">AVERAGE(OFFSET($R$3,0,0,'Données projet'!$E$9+1,1))-AVERAGE(OFFSET($H$3,0,0,'Données projet'!$E$9+1,1))</f>
        <v>252.28378247570731</v>
      </c>
      <c r="T193" s="59">
        <f t="shared" si="142"/>
        <v>263.50418595307343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1.234774707319102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3.3385807407490854E-23</v>
      </c>
      <c r="AC193" s="22">
        <f t="shared" si="163"/>
        <v>1.234774707319102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2.2737367544323206E-13</v>
      </c>
      <c r="AJ193" s="13">
        <f>AI193*VLOOKUP('Données projet'!$B$10,Paramètres!$A$1:$I$89,3,0)*VLOOKUP('Données projet'!$B$10,Paramètres!$A$1:$I$89,5,0)</f>
        <v>1.915395841933787E-13</v>
      </c>
      <c r="AK193" s="13">
        <f t="shared" si="164"/>
        <v>2.6678150060950022E-12</v>
      </c>
      <c r="AL193" s="20">
        <f t="shared" si="165"/>
        <v>4.9800425780855959E-12</v>
      </c>
      <c r="AM193" s="59">
        <f t="shared" si="113"/>
        <v>293.33333333333832</v>
      </c>
      <c r="AN193" s="59">
        <f ca="1">AVERAGE(OFFSET($AM$3,0,0,'Données projet'!$E$10+1,1))-AVERAGE(OFFSET($H$3,0,0,'Données projet'!$E$10+1,1))</f>
        <v>276.71735592065937</v>
      </c>
      <c r="AO193" s="59">
        <f t="shared" si="144"/>
        <v>159.98571289571038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64.872148650130242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64.872148650130242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2.7193891583010558E-13</v>
      </c>
      <c r="P194" s="13">
        <f t="shared" si="141"/>
        <v>3.6362267729089988E-12</v>
      </c>
      <c r="Q194" s="20">
        <f t="shared" si="162"/>
        <v>6.8067219078872727E-12</v>
      </c>
      <c r="R194" s="59">
        <f t="shared" si="109"/>
        <v>293.33333333334014</v>
      </c>
      <c r="S194" s="59">
        <f ca="1">AVERAGE(OFFSET($R$3,0,0,'Données projet'!$E$9+1,1))-AVERAGE(OFFSET($H$3,0,0,'Données projet'!$E$9+1,1))</f>
        <v>252.28378247570731</v>
      </c>
      <c r="T194" s="59">
        <f t="shared" si="142"/>
        <v>263.50418595307343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1.2105615284467797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2.3607330813224853E-23</v>
      </c>
      <c r="AC194" s="22">
        <f t="shared" si="163"/>
        <v>1.2105615284467797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2.2737367544323206E-13</v>
      </c>
      <c r="AJ194" s="13">
        <f>AI194*VLOOKUP('Données projet'!$B$10,Paramètres!$A$1:$I$89,3,0)*VLOOKUP('Données projet'!$B$10,Paramètres!$A$1:$I$89,5,0)</f>
        <v>1.915395841933787E-13</v>
      </c>
      <c r="AK194" s="13">
        <f t="shared" si="164"/>
        <v>2.6678150060950022E-12</v>
      </c>
      <c r="AL194" s="20">
        <f t="shared" si="165"/>
        <v>4.9800425780855959E-12</v>
      </c>
      <c r="AM194" s="59">
        <f t="shared" si="113"/>
        <v>293.33333333333832</v>
      </c>
      <c r="AN194" s="59">
        <f ca="1">AVERAGE(OFFSET($AM$3,0,0,'Données projet'!$E$10+1,1))-AVERAGE(OFFSET($H$3,0,0,'Données projet'!$E$10+1,1))</f>
        <v>276.71735592065937</v>
      </c>
      <c r="AO194" s="59">
        <f t="shared" si="144"/>
        <v>159.98571289571038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63.600045383204836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63.600045383204836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2.7193891583010558E-13</v>
      </c>
      <c r="P195" s="13">
        <f t="shared" si="141"/>
        <v>3.6362267729089988E-12</v>
      </c>
      <c r="Q195" s="20">
        <f t="shared" si="162"/>
        <v>6.8067219078872727E-12</v>
      </c>
      <c r="R195" s="59">
        <f t="shared" ref="R195:R203" si="191">Q195+(I195+J195)*44/12</f>
        <v>293.33333333334014</v>
      </c>
      <c r="S195" s="59">
        <f ca="1">AVERAGE(OFFSET($R$3,0,0,'Données projet'!$E$9+1,1))-AVERAGE(OFFSET($H$3,0,0,'Données projet'!$E$9+1,1))</f>
        <v>252.28378247570731</v>
      </c>
      <c r="T195" s="59">
        <f t="shared" si="142"/>
        <v>263.50418595307343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1.1868231552435626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1.6692903703745427E-23</v>
      </c>
      <c r="AC195" s="22">
        <f t="shared" si="163"/>
        <v>1.1868231552435626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2.2737367544323206E-13</v>
      </c>
      <c r="AJ195" s="13">
        <f>AI195*VLOOKUP('Données projet'!$B$10,Paramètres!$A$1:$I$89,3,0)*VLOOKUP('Données projet'!$B$10,Paramètres!$A$1:$I$89,5,0)</f>
        <v>1.915395841933787E-13</v>
      </c>
      <c r="AK195" s="13">
        <f t="shared" si="164"/>
        <v>2.6678150060950022E-12</v>
      </c>
      <c r="AL195" s="20">
        <f t="shared" si="165"/>
        <v>4.9800425780855959E-12</v>
      </c>
      <c r="AM195" s="59">
        <f t="shared" si="113"/>
        <v>293.33333333333832</v>
      </c>
      <c r="AN195" s="59">
        <f ca="1">AVERAGE(OFFSET($AM$3,0,0,'Données projet'!$E$10+1,1))-AVERAGE(OFFSET($H$3,0,0,'Données projet'!$E$10+1,1))</f>
        <v>276.71735592065937</v>
      </c>
      <c r="AO195" s="59">
        <f t="shared" si="144"/>
        <v>159.98571289571038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62.352887285437461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62.352887285437461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2.7193891583010558E-13</v>
      </c>
      <c r="P196" s="13">
        <f t="shared" si="141"/>
        <v>3.6362267729089988E-12</v>
      </c>
      <c r="Q196" s="20">
        <f t="shared" si="162"/>
        <v>6.8067219078872727E-12</v>
      </c>
      <c r="R196" s="59">
        <f t="shared" si="191"/>
        <v>293.33333333334014</v>
      </c>
      <c r="S196" s="59">
        <f ca="1">AVERAGE(OFFSET($R$3,0,0,'Données projet'!$E$9+1,1))-AVERAGE(OFFSET($H$3,0,0,'Données projet'!$E$9+1,1))</f>
        <v>252.28378247570731</v>
      </c>
      <c r="T196" s="59">
        <f t="shared" si="142"/>
        <v>263.50418595307343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1.1635502770598829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1.1803665406612426E-23</v>
      </c>
      <c r="AC196" s="22">
        <f t="shared" si="163"/>
        <v>1.1635502770598829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2.2737367544323206E-13</v>
      </c>
      <c r="AJ196" s="13">
        <f>AI196*VLOOKUP('Données projet'!$B$10,Paramètres!$A$1:$I$89,3,0)*VLOOKUP('Données projet'!$B$10,Paramètres!$A$1:$I$89,5,0)</f>
        <v>1.915395841933787E-13</v>
      </c>
      <c r="AK196" s="13">
        <f t="shared" si="164"/>
        <v>2.6678150060950022E-12</v>
      </c>
      <c r="AL196" s="20">
        <f t="shared" si="165"/>
        <v>4.9800425780855959E-12</v>
      </c>
      <c r="AM196" s="59">
        <f t="shared" ref="AM196:AM203" si="193">AL196+(AD196+AE196)*44/12</f>
        <v>293.33333333333832</v>
      </c>
      <c r="AN196" s="59">
        <f ca="1">AVERAGE(OFFSET($AM$3,0,0,'Données projet'!$E$10+1,1))-AVERAGE(OFFSET($H$3,0,0,'Données projet'!$E$10+1,1))</f>
        <v>276.71735592065937</v>
      </c>
      <c r="AO196" s="59">
        <f t="shared" si="144"/>
        <v>159.98571289571038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61.130185197275978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61.130185197275978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2.7193891583010558E-13</v>
      </c>
      <c r="P197" s="13">
        <f t="shared" ref="P197:P203" si="203">EXP(-1.0587+0.8836*LN(O197)+0.284)</f>
        <v>3.6362267729089988E-12</v>
      </c>
      <c r="Q197" s="20">
        <f t="shared" si="162"/>
        <v>6.8067219078872727E-12</v>
      </c>
      <c r="R197" s="59">
        <f t="shared" si="191"/>
        <v>293.33333333334014</v>
      </c>
      <c r="S197" s="59">
        <f ca="1">AVERAGE(OFFSET($R$3,0,0,'Données projet'!$E$9+1,1))-AVERAGE(OFFSET($H$3,0,0,'Données projet'!$E$9+1,1))</f>
        <v>252.28378247570731</v>
      </c>
      <c r="T197" s="59">
        <f t="shared" ref="T197:T203" si="204">$T$3</f>
        <v>263.50418595307343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1.1407337658223309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8.3464518518727134E-24</v>
      </c>
      <c r="AC197" s="22">
        <f t="shared" si="163"/>
        <v>1.1407337658223309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2.2737367544323206E-13</v>
      </c>
      <c r="AJ197" s="13">
        <f>AI197*VLOOKUP('Données projet'!$B$10,Paramètres!$A$1:$I$89,3,0)*VLOOKUP('Données projet'!$B$10,Paramètres!$A$1:$I$89,5,0)</f>
        <v>1.915395841933787E-13</v>
      </c>
      <c r="AK197" s="13">
        <f t="shared" si="164"/>
        <v>2.6678150060950022E-12</v>
      </c>
      <c r="AL197" s="20">
        <f t="shared" si="165"/>
        <v>4.9800425780855959E-12</v>
      </c>
      <c r="AM197" s="59">
        <f t="shared" si="193"/>
        <v>293.33333333333832</v>
      </c>
      <c r="AN197" s="59">
        <f ca="1">AVERAGE(OFFSET($AM$3,0,0,'Données projet'!$E$10+1,1))-AVERAGE(OFFSET($H$3,0,0,'Données projet'!$E$10+1,1))</f>
        <v>276.71735592065937</v>
      </c>
      <c r="AO197" s="59">
        <f t="shared" ref="AO197:AO203" si="205">$AO$3</f>
        <v>159.98571289571038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59.931459551288704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59.931459551288704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2.7193891583010558E-13</v>
      </c>
      <c r="P198" s="13">
        <f t="shared" si="203"/>
        <v>3.6362267729089988E-12</v>
      </c>
      <c r="Q198" s="20">
        <f t="shared" si="162"/>
        <v>6.8067219078872727E-12</v>
      </c>
      <c r="R198" s="59">
        <f t="shared" si="191"/>
        <v>293.33333333334014</v>
      </c>
      <c r="S198" s="59">
        <f ca="1">AVERAGE(OFFSET($R$3,0,0,'Données projet'!$E$9+1,1))-AVERAGE(OFFSET($H$3,0,0,'Données projet'!$E$9+1,1))</f>
        <v>252.28378247570731</v>
      </c>
      <c r="T198" s="59">
        <f t="shared" si="204"/>
        <v>263.50418595307343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1.1183646724534497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5.9018327033062132E-24</v>
      </c>
      <c r="AC198" s="22">
        <f t="shared" si="163"/>
        <v>1.1183646724534497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2.2737367544323206E-13</v>
      </c>
      <c r="AJ198" s="13">
        <f>AI198*VLOOKUP('Données projet'!$B$10,Paramètres!$A$1:$I$89,3,0)*VLOOKUP('Données projet'!$B$10,Paramètres!$A$1:$I$89,5,0)</f>
        <v>1.915395841933787E-13</v>
      </c>
      <c r="AK198" s="13">
        <f t="shared" si="164"/>
        <v>2.6678150060950022E-12</v>
      </c>
      <c r="AL198" s="20">
        <f t="shared" si="165"/>
        <v>4.9800425780855959E-12</v>
      </c>
      <c r="AM198" s="59">
        <f t="shared" si="193"/>
        <v>293.33333333333832</v>
      </c>
      <c r="AN198" s="59">
        <f ca="1">AVERAGE(OFFSET($AM$3,0,0,'Données projet'!$E$10+1,1))-AVERAGE(OFFSET($H$3,0,0,'Données projet'!$E$10+1,1))</f>
        <v>276.71735592065937</v>
      </c>
      <c r="AO198" s="59">
        <f t="shared" si="205"/>
        <v>159.98571289571038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58.756240184068794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58.756240184068794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2.7193891583010558E-13</v>
      </c>
      <c r="P199" s="13">
        <f t="shared" si="203"/>
        <v>3.6362267729089988E-12</v>
      </c>
      <c r="Q199" s="20">
        <f t="shared" si="162"/>
        <v>6.8067219078872727E-12</v>
      </c>
      <c r="R199" s="59">
        <f t="shared" si="191"/>
        <v>293.33333333334014</v>
      </c>
      <c r="S199" s="59">
        <f ca="1">AVERAGE(OFFSET($R$3,0,0,'Données projet'!$E$9+1,1))-AVERAGE(OFFSET($H$3,0,0,'Données projet'!$E$9+1,1))</f>
        <v>252.28378247570731</v>
      </c>
      <c r="T199" s="59">
        <f t="shared" si="204"/>
        <v>263.50418595307343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1.0964342233617326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4.1732259259363567E-24</v>
      </c>
      <c r="AC199" s="22">
        <f t="shared" si="163"/>
        <v>1.0964342233617326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2.2737367544323206E-13</v>
      </c>
      <c r="AJ199" s="13">
        <f>AI199*VLOOKUP('Données projet'!$B$10,Paramètres!$A$1:$I$89,3,0)*VLOOKUP('Données projet'!$B$10,Paramètres!$A$1:$I$89,5,0)</f>
        <v>1.915395841933787E-13</v>
      </c>
      <c r="AK199" s="13">
        <f t="shared" si="164"/>
        <v>2.6678150060950022E-12</v>
      </c>
      <c r="AL199" s="20">
        <f t="shared" si="165"/>
        <v>4.9800425780855959E-12</v>
      </c>
      <c r="AM199" s="59">
        <f t="shared" si="193"/>
        <v>293.33333333333832</v>
      </c>
      <c r="AN199" s="59">
        <f ca="1">AVERAGE(OFFSET($AM$3,0,0,'Données projet'!$E$10+1,1))-AVERAGE(OFFSET($H$3,0,0,'Données projet'!$E$10+1,1))</f>
        <v>276.71735592065937</v>
      </c>
      <c r="AO199" s="59">
        <f t="shared" si="205"/>
        <v>159.98571289571038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57.604066151827034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57.604066151827034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2.7193891583010558E-13</v>
      </c>
      <c r="P200" s="13">
        <f t="shared" si="203"/>
        <v>3.6362267729089988E-12</v>
      </c>
      <c r="Q200" s="20">
        <f t="shared" si="162"/>
        <v>6.8067219078872727E-12</v>
      </c>
      <c r="R200" s="59">
        <f t="shared" si="191"/>
        <v>293.33333333334014</v>
      </c>
      <c r="S200" s="59">
        <f ca="1">AVERAGE(OFFSET($R$3,0,0,'Données projet'!$E$9+1,1))-AVERAGE(OFFSET($H$3,0,0,'Données projet'!$E$9+1,1))</f>
        <v>252.28378247570731</v>
      </c>
      <c r="T200" s="59">
        <f t="shared" si="204"/>
        <v>263.50418595307343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1.0749338170004508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2.9509163516531066E-24</v>
      </c>
      <c r="AC200" s="22">
        <f t="shared" si="163"/>
        <v>1.0749338170004508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2.2737367544323206E-13</v>
      </c>
      <c r="AJ200" s="13">
        <f>AI200*VLOOKUP('Données projet'!$B$10,Paramètres!$A$1:$I$89,3,0)*VLOOKUP('Données projet'!$B$10,Paramètres!$A$1:$I$89,5,0)</f>
        <v>1.915395841933787E-13</v>
      </c>
      <c r="AK200" s="13">
        <f t="shared" si="164"/>
        <v>2.6678150060950022E-12</v>
      </c>
      <c r="AL200" s="20">
        <f t="shared" si="165"/>
        <v>4.9800425780855959E-12</v>
      </c>
      <c r="AM200" s="59">
        <f t="shared" si="193"/>
        <v>293.33333333333832</v>
      </c>
      <c r="AN200" s="59">
        <f ca="1">AVERAGE(OFFSET($AM$3,0,0,'Données projet'!$E$10+1,1))-AVERAGE(OFFSET($H$3,0,0,'Données projet'!$E$10+1,1))</f>
        <v>276.71735592065937</v>
      </c>
      <c r="AO200" s="59">
        <f t="shared" si="205"/>
        <v>159.98571289571038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56.474485549600765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56.474485549600765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2.7193891583010558E-13</v>
      </c>
      <c r="P201" s="13">
        <f t="shared" si="203"/>
        <v>3.6362267729089988E-12</v>
      </c>
      <c r="Q201" s="20">
        <f t="shared" si="162"/>
        <v>6.8067219078872727E-12</v>
      </c>
      <c r="R201" s="59">
        <f t="shared" si="191"/>
        <v>293.33333333334014</v>
      </c>
      <c r="S201" s="59">
        <f ca="1">AVERAGE(OFFSET($R$3,0,0,'Données projet'!$E$9+1,1))-AVERAGE(OFFSET($H$3,0,0,'Données projet'!$E$9+1,1))</f>
        <v>252.28378247570731</v>
      </c>
      <c r="T201" s="59">
        <f t="shared" si="204"/>
        <v>263.50418595307343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1.0538550204939607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2.0866129629681784E-24</v>
      </c>
      <c r="AC201" s="22">
        <f t="shared" si="163"/>
        <v>1.0538550204939607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2.2737367544323206E-13</v>
      </c>
      <c r="AJ201" s="13">
        <f>AI201*VLOOKUP('Données projet'!$B$10,Paramètres!$A$1:$I$89,3,0)*VLOOKUP('Données projet'!$B$10,Paramètres!$A$1:$I$89,5,0)</f>
        <v>1.915395841933787E-13</v>
      </c>
      <c r="AK201" s="13">
        <f t="shared" si="164"/>
        <v>2.6678150060950022E-12</v>
      </c>
      <c r="AL201" s="20">
        <f t="shared" si="165"/>
        <v>4.9800425780855959E-12</v>
      </c>
      <c r="AM201" s="59">
        <f t="shared" si="193"/>
        <v>293.33333333333832</v>
      </c>
      <c r="AN201" s="59">
        <f ca="1">AVERAGE(OFFSET($AM$3,0,0,'Données projet'!$E$10+1,1))-AVERAGE(OFFSET($H$3,0,0,'Données projet'!$E$10+1,1))</f>
        <v>276.71735592065937</v>
      </c>
      <c r="AO201" s="59">
        <f t="shared" si="205"/>
        <v>159.98571289571038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55.367055334008015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55.367055334008015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2.7193891583010558E-13</v>
      </c>
      <c r="P202" s="13">
        <f t="shared" si="203"/>
        <v>3.6362267729089988E-12</v>
      </c>
      <c r="Q202" s="20">
        <f t="shared" si="162"/>
        <v>6.8067219078872727E-12</v>
      </c>
      <c r="R202" s="59">
        <f t="shared" si="191"/>
        <v>293.33333333334014</v>
      </c>
      <c r="S202" s="59">
        <f ca="1">AVERAGE(OFFSET($R$3,0,0,'Données projet'!$E$9+1,1))-AVERAGE(OFFSET($H$3,0,0,'Données projet'!$E$9+1,1))</f>
        <v>252.28378247570731</v>
      </c>
      <c r="T202" s="59">
        <f t="shared" si="204"/>
        <v>263.50418595307343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1.0331895663301667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1.4754581758265533E-24</v>
      </c>
      <c r="AC202" s="22">
        <f t="shared" si="163"/>
        <v>1.0331895663301667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2.2737367544323206E-13</v>
      </c>
      <c r="AJ202" s="13">
        <f>AI202*VLOOKUP('Données projet'!$B$10,Paramètres!$A$1:$I$89,3,0)*VLOOKUP('Données projet'!$B$10,Paramètres!$A$1:$I$89,5,0)</f>
        <v>1.915395841933787E-13</v>
      </c>
      <c r="AK202" s="13">
        <f t="shared" si="164"/>
        <v>2.6678150060950022E-12</v>
      </c>
      <c r="AL202" s="20">
        <f t="shared" si="165"/>
        <v>4.9800425780855959E-12</v>
      </c>
      <c r="AM202" s="59">
        <f t="shared" si="193"/>
        <v>293.33333333333832</v>
      </c>
      <c r="AN202" s="59">
        <f ca="1">AVERAGE(OFFSET($AM$3,0,0,'Données projet'!$E$10+1,1))-AVERAGE(OFFSET($H$3,0,0,'Données projet'!$E$10+1,1))</f>
        <v>276.71735592065937</v>
      </c>
      <c r="AO202" s="59">
        <f t="shared" si="205"/>
        <v>159.98571289571038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54.281341149477306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54.281341149477306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2.7193891583010558E-13</v>
      </c>
      <c r="P203" s="13">
        <f t="shared" si="203"/>
        <v>3.6362267729089988E-12</v>
      </c>
      <c r="Q203" s="20">
        <f t="shared" si="162"/>
        <v>6.8067219078872727E-12</v>
      </c>
      <c r="R203" s="59">
        <f t="shared" si="191"/>
        <v>293.33333333334014</v>
      </c>
      <c r="S203" s="59">
        <f ca="1">AVERAGE(OFFSET($R$3,0,0,'Données projet'!$E$9+1,1))-AVERAGE(OFFSET($H$3,0,0,'Données projet'!$E$9+1,1))</f>
        <v>252.28378247570731</v>
      </c>
      <c r="T203" s="59">
        <f t="shared" si="204"/>
        <v>263.50418595307343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1.0129293491178422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1.0433064814840892E-24</v>
      </c>
      <c r="AC203" s="22">
        <f t="shared" si="163"/>
        <v>1.0129293491178422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2.2737367544323206E-13</v>
      </c>
      <c r="AJ203" s="13">
        <f>AI203*VLOOKUP('Données projet'!$B$10,Paramètres!$A$1:$I$89,3,0)*VLOOKUP('Données projet'!$B$10,Paramètres!$A$1:$I$89,5,0)</f>
        <v>1.915395841933787E-13</v>
      </c>
      <c r="AK203" s="13">
        <f t="shared" si="164"/>
        <v>2.6678150060950022E-12</v>
      </c>
      <c r="AL203" s="20">
        <f t="shared" si="165"/>
        <v>4.9800425780855959E-12</v>
      </c>
      <c r="AM203" s="59">
        <f t="shared" si="193"/>
        <v>293.33333333333832</v>
      </c>
      <c r="AN203" s="59">
        <f ca="1">AVERAGE(OFFSET($AM$3,0,0,'Données projet'!$E$10+1,1))-AVERAGE(OFFSET($H$3,0,0,'Données projet'!$E$10+1,1))</f>
        <v>276.71735592065937</v>
      </c>
      <c r="AO203" s="59">
        <f t="shared" si="205"/>
        <v>159.98571289571038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53.216917157884978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53.216917157884978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1.3763223570336161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1.2054868146447177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abSelected="1" zoomScale="90" zoomScaleNormal="90" workbookViewId="0">
      <selection activeCell="K50" sqref="K50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6.2874800000000004</v>
      </c>
      <c r="C6" s="147">
        <f ca="1">IF(OR('Données projet'!B9="",'Données projet'!C9="",'Données projet'!C9=0%),0,Calculateur!S3)</f>
        <v>252.28378247570731</v>
      </c>
      <c r="D6" s="147">
        <f>IF(OR('Données projet'!B9="",'Données projet'!C9="",'Données projet'!C9=0%),0,Calculateur!T3)</f>
        <v>263.50418595307343</v>
      </c>
      <c r="E6" s="147">
        <f ca="1">MIN(C6,D6)</f>
        <v>252.28378247570731</v>
      </c>
      <c r="F6" s="147">
        <f ca="1">E6*B6</f>
        <v>1586.2292366403603</v>
      </c>
      <c r="G6" s="147">
        <f ca="1">F6*(100%-'Données projet'!$C$24)*(100%-'Données projet'!$C$25)*(100%-'Données projet'!$C$26)*(100%-'Données projet'!$C$27)</f>
        <v>970.77229282390056</v>
      </c>
      <c r="H6" s="148">
        <f>IF(OR('Données projet'!B9="",'Données projet'!C9="",'Données projet'!C9=0%),0,AVERAGE(Calculateur!$AC$3:$AC$33)*B6)</f>
        <v>44.717954309389391</v>
      </c>
      <c r="I6" s="149">
        <f>H6*(100%-'Données projet'!$C$24)*(100%-'Données projet'!$C$25)*(100%-'Données projet'!$C$26)*(100%-'Données projet'!$C$27)</f>
        <v>27.367388037346306</v>
      </c>
      <c r="J6" s="150">
        <f>IF(OR('Données projet'!B9="",'Données projet'!C9="",'Données projet'!C9=0%),0,SUM(Calculateur!$V$3:$V$33)*VLOOKUP('Données projet'!$B$9,Paramètres!$A$1:$I$89,9,0)*B6)</f>
        <v>530.47468759999992</v>
      </c>
      <c r="K6" s="151">
        <f>J6*(100%-'Données projet'!$C$24)*(100%-'Données projet'!$C$25)*(100%-'Données projet'!$C$26)*(100%-'Données projet'!$C$27)</f>
        <v>324.65050881119998</v>
      </c>
      <c r="L6" s="152">
        <f ca="1">G6+I6+K6</f>
        <v>1322.790189672447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pédonculé</v>
      </c>
      <c r="B7" s="154">
        <f>'Données projet'!D10</f>
        <v>0.33092000000000005</v>
      </c>
      <c r="C7" s="147">
        <f ca="1">IF(OR('Données projet'!B10="",'Données projet'!C10="",'Données projet'!C10=0%),0,Calculateur!AN3)</f>
        <v>276.71735592065937</v>
      </c>
      <c r="D7" s="147">
        <f>IF(OR('Données projet'!B10="",'Données projet'!C10="",'Données projet'!C10=0%),0,Calculateur!AO3)</f>
        <v>159.98571289571038</v>
      </c>
      <c r="E7" s="147">
        <f t="shared" ref="E7:E15" ca="1" si="0">MIN(C7,D7)</f>
        <v>159.98571289571038</v>
      </c>
      <c r="F7" s="147">
        <f t="shared" ref="F7:F15" ca="1" si="1">E7*B7</f>
        <v>52.942472111448488</v>
      </c>
      <c r="G7" s="147">
        <f ca="1">F7*(100%-'Données projet'!$C$24)*(100%-'Données projet'!$C$25)*(100%-'Données projet'!$C$26)*(100%-'Données projet'!$C$27)</f>
        <v>32.400792932206478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2.3991700000000002</v>
      </c>
      <c r="K7" s="151">
        <f>J7*(100%-'Données projet'!$C$24)*(100%-'Données projet'!$C$25)*(100%-'Données projet'!$C$26)*(100%-'Données projet'!$C$27)</f>
        <v>1.4682920400000004</v>
      </c>
      <c r="L7" s="152">
        <f t="shared" ref="L7:L15" ca="1" si="2">G7+I7+K7</f>
        <v>33.86908497220648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1639.1717087518089</v>
      </c>
      <c r="G16" s="166">
        <f t="shared" ca="1" si="3"/>
        <v>1003.1730857561071</v>
      </c>
      <c r="H16" s="167">
        <f t="shared" si="3"/>
        <v>44.717954309389391</v>
      </c>
      <c r="I16" s="167">
        <f t="shared" si="3"/>
        <v>27.367388037346306</v>
      </c>
      <c r="J16" s="168">
        <f t="shared" si="3"/>
        <v>532.87385759999995</v>
      </c>
      <c r="K16" s="168">
        <f t="shared" si="3"/>
        <v>326.11880085119998</v>
      </c>
      <c r="L16" s="169">
        <f t="shared" ca="1" si="3"/>
        <v>1356.6592746446536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pédonculé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2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6.2874800000000004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pédonculé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0.33092000000000005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16</v>
      </c>
      <c r="B24" s="181">
        <f>'Données projet'!D37</f>
        <v>25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33.700000000000003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0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24</v>
      </c>
      <c r="B26" s="181">
        <f>'Données projet'!D39</f>
        <v>42.9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n'est pas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28</v>
      </c>
      <c r="B27" s="181">
        <f>'Données projet'!D40</f>
        <v>41.4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34</v>
      </c>
      <c r="B28" s="181">
        <f>'Données projet'!D41</f>
        <v>59.9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40</v>
      </c>
      <c r="B29" s="181">
        <f>'Données projet'!D42</f>
        <v>34.1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46</v>
      </c>
      <c r="B30" s="181">
        <f>'Données projet'!D43</f>
        <v>21.3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54</v>
      </c>
      <c r="B31" s="181">
        <f>'Données projet'!D44</f>
        <v>17.399999999999999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62</v>
      </c>
      <c r="B32" s="181">
        <f>'Données projet'!D45</f>
        <v>410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pédonculé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29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42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42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42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42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42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90</v>
      </c>
      <c r="B61" s="181">
        <f>'Données projet'!D69</f>
        <v>42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100</v>
      </c>
      <c r="B62" s="181">
        <f>'Données projet'!D70</f>
        <v>42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110</v>
      </c>
      <c r="B63" s="181">
        <f>'Données projet'!D71</f>
        <v>39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120</v>
      </c>
      <c r="B64" s="181">
        <f>'Données projet'!D72</f>
        <v>35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130</v>
      </c>
      <c r="B65" s="181">
        <f>'Données projet'!D73</f>
        <v>31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140</v>
      </c>
      <c r="B66" s="181">
        <f>'Données projet'!D74</f>
        <v>27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150</v>
      </c>
      <c r="B67" s="181">
        <f>'Données projet'!D75</f>
        <v>292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Morgane PICHELIN</cp:lastModifiedBy>
  <cp:lastPrinted>2023-09-11T13:45:49Z</cp:lastPrinted>
  <dcterms:created xsi:type="dcterms:W3CDTF">2021-02-01T08:22:39Z</dcterms:created>
  <dcterms:modified xsi:type="dcterms:W3CDTF">2023-09-11T13:46:48Z</dcterms:modified>
</cp:coreProperties>
</file>