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/Killian Neyrand/Rauret_43_Killian Neyrand_9,6625/Dossier LBC/"/>
    </mc:Choice>
  </mc:AlternateContent>
  <xr:revisionPtr revIDLastSave="17" documentId="8_{008C4F50-4775-473A-8025-8A857119A45D}" xr6:coauthVersionLast="47" xr6:coauthVersionMax="47" xr10:uidLastSave="{C4CEE372-4678-448B-A95C-CB0D769CD9D8}"/>
  <bookViews>
    <workbookView xWindow="-110" yWindow="-110" windowWidth="19420" windowHeight="115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Q35" i="2"/>
  <c r="EB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EA164" i="2"/>
  <c r="EV164" i="2"/>
  <c r="EX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EW185" i="2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tc={69295DA3-CEF4-4743-B25C-9386768A4A35}</author>
    <author>tc={E7DE75B2-8EE3-417D-84FA-05373DE60C73}</author>
    <author>tc={C3AC9FB5-883F-4C95-B064-A92F0F8C18F3}</author>
    <author>tc={C5D92B3D-406A-458F-82D0-90AA37E4B2B1}</author>
    <author>tc={6F98C98D-0470-4D08-9C06-1DB284EBEDCD}</author>
    <author>tc={8FB92647-305C-4033-BAA2-F60123C50879}</author>
  </authors>
  <commentList>
    <comment ref="E19" authorId="0" shapeId="0" xr:uid="{69295DA3-CEF4-4743-B25C-9386768A4A3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eclaircies</t>
      </text>
    </comment>
    <comment ref="I20" authorId="1" shapeId="0" xr:uid="{E7DE75B2-8EE3-417D-84FA-05373DE60C7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Mise en andains</t>
      </text>
    </comment>
    <comment ref="I21" authorId="2" shapeId="0" xr:uid="{C3AC9FB5-883F-4C95-B064-A92F0F8C18F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piquets et pose</t>
      </text>
    </comment>
    <comment ref="I22" authorId="3" shapeId="0" xr:uid="{C5D92B3D-406A-458F-82D0-90AA37E4B2B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trico</t>
      </text>
    </comment>
    <comment ref="I23" authorId="4" shapeId="0" xr:uid="{6F98C98D-0470-4D08-9C06-1DB284EBEDC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regarnis</t>
      </text>
    </comment>
    <comment ref="I24" authorId="5" shapeId="0" xr:uid="{8FB92647-305C-4033-BAA2-F60123C5087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Maitrise d'oeuvre</t>
      </text>
    </comment>
  </commentList>
</comments>
</file>

<file path=xl/sharedStrings.xml><?xml version="1.0" encoding="utf-8"?>
<sst xmlns="http://schemas.openxmlformats.org/spreadsheetml/2006/main" count="1177" uniqueCount="325">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</sst>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0" fillId="14" borderId="1" xfId="0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179.64007820340888</c:v>
                </c:pt>
                <c:pt idx="14">
                  <c:v>215.39584283593408</c:v>
                </c:pt>
                <c:pt idx="15">
                  <c:v>251.01473072466717</c:v>
                </c:pt>
                <c:pt idx="16">
                  <c:v>286.51891307475506</c:v>
                </c:pt>
                <c:pt idx="17">
                  <c:v>321.92460060215132</c:v>
                </c:pt>
                <c:pt idx="18">
                  <c:v>357.24414130207202</c:v>
                </c:pt>
                <c:pt idx="19">
                  <c:v>392.93009822200844</c:v>
                </c:pt>
                <c:pt idx="20">
                  <c:v>428.54578454775537</c:v>
                </c:pt>
                <c:pt idx="21">
                  <c:v>464.0978527922727</c:v>
                </c:pt>
                <c:pt idx="22">
                  <c:v>499.59185381999487</c:v>
                </c:pt>
                <c:pt idx="23">
                  <c:v>535.0324861894976</c:v>
                </c:pt>
                <c:pt idx="24">
                  <c:v>570.42377594938648</c:v>
                </c:pt>
                <c:pt idx="25">
                  <c:v>605.54980770315581</c:v>
                </c:pt>
                <c:pt idx="26">
                  <c:v>640.63354316768266</c:v>
                </c:pt>
                <c:pt idx="27">
                  <c:v>675.67762008263787</c:v>
                </c:pt>
                <c:pt idx="28">
                  <c:v>710.68438071077901</c:v>
                </c:pt>
                <c:pt idx="29">
                  <c:v>745.65591814463266</c:v>
                </c:pt>
                <c:pt idx="30">
                  <c:v>780.59411348307503</c:v>
                </c:pt>
                <c:pt idx="31">
                  <c:v>671.9559975046767</c:v>
                </c:pt>
                <c:pt idx="32">
                  <c:v>703.68591015453387</c:v>
                </c:pt>
                <c:pt idx="33">
                  <c:v>735.38656805371522</c:v>
                </c:pt>
                <c:pt idx="34">
                  <c:v>767.05940745274086</c:v>
                </c:pt>
                <c:pt idx="35">
                  <c:v>798.70573652474422</c:v>
                </c:pt>
                <c:pt idx="36">
                  <c:v>830.32675150748025</c:v>
                </c:pt>
                <c:pt idx="37">
                  <c:v>699.09239084190824</c:v>
                </c:pt>
                <c:pt idx="38">
                  <c:v>723.80272964590631</c:v>
                </c:pt>
                <c:pt idx="39">
                  <c:v>748.49586702387558</c:v>
                </c:pt>
                <c:pt idx="40">
                  <c:v>773.1724495278487</c:v>
                </c:pt>
                <c:pt idx="41">
                  <c:v>797.83307913277804</c:v>
                </c:pt>
                <c:pt idx="42">
                  <c:v>822.47831762002932</c:v>
                </c:pt>
                <c:pt idx="43">
                  <c:v>687.05880434588732</c:v>
                </c:pt>
                <c:pt idx="44">
                  <c:v>710.24701772271976</c:v>
                </c:pt>
                <c:pt idx="45">
                  <c:v>733.41976488307193</c:v>
                </c:pt>
                <c:pt idx="46">
                  <c:v>756.57760263872979</c:v>
                </c:pt>
                <c:pt idx="47">
                  <c:v>779.72105098068926</c:v>
                </c:pt>
                <c:pt idx="48">
                  <c:v>802.85059655638725</c:v>
                </c:pt>
                <c:pt idx="49">
                  <c:v>662.54058417706869</c:v>
                </c:pt>
                <c:pt idx="50">
                  <c:v>683.55731657128399</c:v>
                </c:pt>
                <c:pt idx="51">
                  <c:v>704.5607965314897</c:v>
                </c:pt>
                <c:pt idx="52">
                  <c:v>725.55147429600538</c:v>
                </c:pt>
                <c:pt idx="53">
                  <c:v>746.52977195775156</c:v>
                </c:pt>
                <c:pt idx="54">
                  <c:v>767.49608598100974</c:v>
                </c:pt>
                <c:pt idx="55">
                  <c:v>628.79734099509483</c:v>
                </c:pt>
                <c:pt idx="56">
                  <c:v>646.33083923518518</c:v>
                </c:pt>
                <c:pt idx="57">
                  <c:v>663.85452714710436</c:v>
                </c:pt>
                <c:pt idx="58">
                  <c:v>681.36869994686231</c:v>
                </c:pt>
                <c:pt idx="59">
                  <c:v>698.87363644948789</c:v>
                </c:pt>
                <c:pt idx="60">
                  <c:v>716.36960037654308</c:v>
                </c:pt>
                <c:pt idx="61">
                  <c:v>586.67500447098337</c:v>
                </c:pt>
                <c:pt idx="62">
                  <c:v>604.23336233410805</c:v>
                </c:pt>
                <c:pt idx="63">
                  <c:v>621.78112531404111</c:v>
                </c:pt>
                <c:pt idx="64">
                  <c:v>639.31863429406792</c:v>
                </c:pt>
                <c:pt idx="65">
                  <c:v>656.8462099455628</c:v>
                </c:pt>
                <c:pt idx="66">
                  <c:v>674.36415444477132</c:v>
                </c:pt>
                <c:pt idx="67">
                  <c:v>546.24855583469991</c:v>
                </c:pt>
                <c:pt idx="68">
                  <c:v>561.63531739671441</c:v>
                </c:pt>
                <c:pt idx="69">
                  <c:v>577.01326101134919</c:v>
                </c:pt>
                <c:pt idx="70">
                  <c:v>592.38265466360133</c:v>
                </c:pt>
                <c:pt idx="71">
                  <c:v>607.74375130653345</c:v>
                </c:pt>
                <c:pt idx="72">
                  <c:v>623.09679007092416</c:v>
                </c:pt>
                <c:pt idx="73">
                  <c:v>503.99723200983721</c:v>
                </c:pt>
                <c:pt idx="74">
                  <c:v>518.08900823898523</c:v>
                </c:pt>
                <c:pt idx="75">
                  <c:v>532.17270152227161</c:v>
                </c:pt>
                <c:pt idx="76">
                  <c:v>546.24855583470014</c:v>
                </c:pt>
                <c:pt idx="77">
                  <c:v>560.31680155687127</c:v>
                </c:pt>
                <c:pt idx="78">
                  <c:v>574.37765656188174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141.94790883673247</c:v>
                </c:pt>
                <c:pt idx="22">
                  <c:v>151.32319907420549</c:v>
                </c:pt>
                <c:pt idx="23">
                  <c:v>160.68465382913146</c:v>
                </c:pt>
                <c:pt idx="24">
                  <c:v>170.03319377205966</c:v>
                </c:pt>
                <c:pt idx="25">
                  <c:v>179.36962990969698</c:v>
                </c:pt>
                <c:pt idx="26">
                  <c:v>188.69468180254515</c:v>
                </c:pt>
                <c:pt idx="27">
                  <c:v>198.00899198585145</c:v>
                </c:pt>
                <c:pt idx="28">
                  <c:v>207.31313753029772</c:v>
                </c:pt>
                <c:pt idx="29">
                  <c:v>216.60763941535956</c:v>
                </c:pt>
                <c:pt idx="30">
                  <c:v>225.89297020726823</c:v>
                </c:pt>
                <c:pt idx="31">
                  <c:v>191.85462145986244</c:v>
                </c:pt>
                <c:pt idx="32">
                  <c:v>201.97457838762068</c:v>
                </c:pt>
                <c:pt idx="33">
                  <c:v>212.08279491786956</c:v>
                </c:pt>
                <c:pt idx="34">
                  <c:v>222.17990999337334</c:v>
                </c:pt>
                <c:pt idx="35">
                  <c:v>232.26649967942276</c:v>
                </c:pt>
                <c:pt idx="36">
                  <c:v>242.34308587306441</c:v>
                </c:pt>
                <c:pt idx="37">
                  <c:v>252.41014348628894</c:v>
                </c:pt>
                <c:pt idx="38">
                  <c:v>262.46810642204622</c:v>
                </c:pt>
                <c:pt idx="39">
                  <c:v>272.51737258540891</c:v>
                </c:pt>
                <c:pt idx="40">
                  <c:v>282.55830811624332</c:v>
                </c:pt>
                <c:pt idx="41">
                  <c:v>238.87380842442477</c:v>
                </c:pt>
                <c:pt idx="42">
                  <c:v>250.45383263090912</c:v>
                </c:pt>
                <c:pt idx="43">
                  <c:v>262.02172018206073</c:v>
                </c:pt>
                <c:pt idx="44">
                  <c:v>273.57808268324311</c:v>
                </c:pt>
                <c:pt idx="45">
                  <c:v>285.12347581886542</c:v>
                </c:pt>
                <c:pt idx="46">
                  <c:v>296.65840657145924</c:v>
                </c:pt>
                <c:pt idx="47">
                  <c:v>308.18333925844115</c:v>
                </c:pt>
                <c:pt idx="48">
                  <c:v>319.6987006180791</c:v>
                </c:pt>
                <c:pt idx="49">
                  <c:v>331.20488412397202</c:v>
                </c:pt>
                <c:pt idx="50">
                  <c:v>342.70225366835689</c:v>
                </c:pt>
                <c:pt idx="51">
                  <c:v>289.18172980650758</c:v>
                </c:pt>
                <c:pt idx="52">
                  <c:v>302.71753065256081</c:v>
                </c:pt>
                <c:pt idx="53">
                  <c:v>316.23986708946956</c:v>
                </c:pt>
                <c:pt idx="54">
                  <c:v>329.74939604140644</c:v>
                </c:pt>
                <c:pt idx="55">
                  <c:v>343.24671620025674</c:v>
                </c:pt>
                <c:pt idx="56">
                  <c:v>356.73237532285719</c:v>
                </c:pt>
                <c:pt idx="57">
                  <c:v>370.20687636679116</c:v>
                </c:pt>
                <c:pt idx="58">
                  <c:v>383.67068268600025</c:v>
                </c:pt>
                <c:pt idx="59">
                  <c:v>397.12422245888297</c:v>
                </c:pt>
                <c:pt idx="60">
                  <c:v>410.56789248494528</c:v>
                </c:pt>
                <c:pt idx="61">
                  <c:v>345.68081564301752</c:v>
                </c:pt>
                <c:pt idx="62">
                  <c:v>361.16104428055809</c:v>
                </c:pt>
                <c:pt idx="63">
                  <c:v>376.62676867372988</c:v>
                </c:pt>
                <c:pt idx="64">
                  <c:v>392.07866819155953</c:v>
                </c:pt>
                <c:pt idx="65">
                  <c:v>407.51736429280373</c:v>
                </c:pt>
                <c:pt idx="66">
                  <c:v>422.94342751493468</c:v>
                </c:pt>
                <c:pt idx="67">
                  <c:v>438.35738339029859</c:v>
                </c:pt>
                <c:pt idx="68">
                  <c:v>453.75971748681332</c:v>
                </c:pt>
                <c:pt idx="69">
                  <c:v>469.15087972866837</c:v>
                </c:pt>
                <c:pt idx="70">
                  <c:v>484.53128812058782</c:v>
                </c:pt>
                <c:pt idx="71">
                  <c:v>406.57016834542907</c:v>
                </c:pt>
                <c:pt idx="72">
                  <c:v>423.48925744071431</c:v>
                </c:pt>
                <c:pt idx="73">
                  <c:v>440.3938030990808</c:v>
                </c:pt>
                <c:pt idx="74">
                  <c:v>457.28444193768973</c:v>
                </c:pt>
                <c:pt idx="75">
                  <c:v>474.1617597271516</c:v>
                </c:pt>
                <c:pt idx="76">
                  <c:v>491.02629715523852</c:v>
                </c:pt>
                <c:pt idx="77">
                  <c:v>507.87855475772972</c:v>
                </c:pt>
                <c:pt idx="78">
                  <c:v>524.71899716093287</c:v>
                </c:pt>
                <c:pt idx="79">
                  <c:v>541.54805675141267</c:v>
                </c:pt>
                <c:pt idx="80">
                  <c:v>558.3661368660072</c:v>
                </c:pt>
                <c:pt idx="81">
                  <c:v>466.35904776537882</c:v>
                </c:pt>
                <c:pt idx="82">
                  <c:v>483.72542644560394</c:v>
                </c:pt>
                <c:pt idx="83">
                  <c:v>501.07856738590061</c:v>
                </c:pt>
                <c:pt idx="84">
                  <c:v>518.41899332341563</c:v>
                </c:pt>
                <c:pt idx="85">
                  <c:v>535.74718919333725</c:v>
                </c:pt>
                <c:pt idx="86">
                  <c:v>553.06360602188818</c:v>
                </c:pt>
                <c:pt idx="87">
                  <c:v>570.368664306612</c:v>
                </c:pt>
                <c:pt idx="88">
                  <c:v>587.66275696529431</c:v>
                </c:pt>
                <c:pt idx="89">
                  <c:v>604.94625191988484</c:v>
                </c:pt>
                <c:pt idx="90">
                  <c:v>622.21949436994851</c:v>
                </c:pt>
                <c:pt idx="91">
                  <c:v>518.62814241583544</c:v>
                </c:pt>
                <c:pt idx="92">
                  <c:v>536.94600814995761</c:v>
                </c:pt>
                <c:pt idx="93">
                  <c:v>555.25074345458188</c:v>
                </c:pt>
                <c:pt idx="94">
                  <c:v>573.54284182845595</c:v>
                </c:pt>
                <c:pt idx="95">
                  <c:v>591.82276274805349</c:v>
                </c:pt>
                <c:pt idx="96">
                  <c:v>610.09093501293262</c:v>
                </c:pt>
                <c:pt idx="97">
                  <c:v>628.3477596698234</c:v>
                </c:pt>
                <c:pt idx="98">
                  <c:v>646.5936125794351</c:v>
                </c:pt>
                <c:pt idx="99">
                  <c:v>664.82884667868814</c:v>
                </c:pt>
                <c:pt idx="100">
                  <c:v>683.05379398203058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290.76583591551019</c:v>
                </c:pt>
                <c:pt idx="32">
                  <c:v>315.60720104640671</c:v>
                </c:pt>
                <c:pt idx="33">
                  <c:v>340.40524529090209</c:v>
                </c:pt>
                <c:pt idx="34">
                  <c:v>365.16356584619308</c:v>
                </c:pt>
                <c:pt idx="35">
                  <c:v>389.88523246274644</c:v>
                </c:pt>
                <c:pt idx="36">
                  <c:v>342.19321863218693</c:v>
                </c:pt>
                <c:pt idx="37">
                  <c:v>364.65346486081313</c:v>
                </c:pt>
                <c:pt idx="38">
                  <c:v>387.08350012671536</c:v>
                </c:pt>
                <c:pt idx="39">
                  <c:v>409.48531996489601</c:v>
                </c:pt>
                <c:pt idx="40">
                  <c:v>431.86068387305681</c:v>
                </c:pt>
                <c:pt idx="41">
                  <c:v>396.25118655434943</c:v>
                </c:pt>
                <c:pt idx="42">
                  <c:v>421.69323961894679</c:v>
                </c:pt>
                <c:pt idx="43">
                  <c:v>447.10225323882634</c:v>
                </c:pt>
                <c:pt idx="44">
                  <c:v>472.48036714392634</c:v>
                </c:pt>
                <c:pt idx="45">
                  <c:v>497.82947264900918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491.74823970258643</c:v>
                </c:pt>
                <c:pt idx="49">
                  <c:v>513.78528004261875</c:v>
                </c:pt>
                <c:pt idx="50">
                  <c:v>535.80237321728089</c:v>
                </c:pt>
                <c:pt idx="51">
                  <c:v>500.61617734977284</c:v>
                </c:pt>
                <c:pt idx="52">
                  <c:v>524.9227941200179</c:v>
                </c:pt>
                <c:pt idx="53">
                  <c:v>549.20570960219936</c:v>
                </c:pt>
                <c:pt idx="54">
                  <c:v>573.46611798533218</c:v>
                </c:pt>
                <c:pt idx="55">
                  <c:v>597.70510428718899</c:v>
                </c:pt>
                <c:pt idx="56">
                  <c:v>558.55867937490245</c:v>
                </c:pt>
                <c:pt idx="57">
                  <c:v>580.03291566489895</c:v>
                </c:pt>
                <c:pt idx="58">
                  <c:v>601.49057626451429</c:v>
                </c:pt>
                <c:pt idx="59">
                  <c:v>622.93233512534766</c:v>
                </c:pt>
                <c:pt idx="60">
                  <c:v>644.35881606732414</c:v>
                </c:pt>
                <c:pt idx="61">
                  <c:v>625.95816246291997</c:v>
                </c:pt>
                <c:pt idx="62">
                  <c:v>647.88645878177351</c:v>
                </c:pt>
                <c:pt idx="63">
                  <c:v>669.79945190168905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VEN Thomas - externe" id="{2FDB1C41-699C-42C7-BD5C-A2CCD5D2B2FC}" userId="S::thomas-externe.even@edf.fr::452271ae-bb84-4b5a-842a-62e2f04bfc7c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9" dT="2023-05-24T15:39:02.83" personId="{2FDB1C41-699C-42C7-BD5C-A2CCD5D2B2FC}" id="{69295DA3-CEF4-4743-B25C-9386768A4A35}">
    <text>eclaircies</text>
  </threadedComment>
  <threadedComment ref="I20" dT="2023-05-24T15:29:41.00" personId="{2FDB1C41-699C-42C7-BD5C-A2CCD5D2B2FC}" id="{E7DE75B2-8EE3-417D-84FA-05373DE60C73}">
    <text>Mise en andains</text>
  </threadedComment>
  <threadedComment ref="I21" dT="2023-05-24T15:29:58.62" personId="{2FDB1C41-699C-42C7-BD5C-A2CCD5D2B2FC}" id="{C3AC9FB5-883F-4C95-B064-A92F0F8C18F3}">
    <text>piquets et pose</text>
  </threadedComment>
  <threadedComment ref="I22" dT="2023-05-24T15:30:17.58" personId="{2FDB1C41-699C-42C7-BD5C-A2CCD5D2B2FC}" id="{C5D92B3D-406A-458F-82D0-90AA37E4B2B1}">
    <text>trico</text>
  </threadedComment>
  <threadedComment ref="I23" dT="2023-05-24T15:33:04.71" personId="{2FDB1C41-699C-42C7-BD5C-A2CCD5D2B2FC}" id="{6F98C98D-0470-4D08-9C06-1DB284EBEDCD}">
    <text>regarnis</text>
  </threadedComment>
  <threadedComment ref="I24" dT="2023-05-24T15:29:28.46" personId="{2FDB1C41-699C-42C7-BD5C-A2CCD5D2B2FC}" id="{8FB92647-305C-4033-BAA2-F60123C50879}">
    <text>Maitrise d'oeuvre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7" zoomScale="80" zoomScaleNormal="80" workbookViewId="0">
      <selection activeCell="B62" sqref="B62:D7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9.66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27</v>
      </c>
      <c r="C9" s="32">
        <v>0.30172413793103448</v>
      </c>
      <c r="D9" s="33">
        <f t="shared" ref="D9:D18" si="0">C9*$C$5</f>
        <v>2.9146551724137932</v>
      </c>
      <c r="E9" s="34">
        <v>78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164</v>
      </c>
      <c r="C10" s="32">
        <v>8.6206896551724144E-2</v>
      </c>
      <c r="D10" s="33">
        <f t="shared" si="0"/>
        <v>0.83275862068965523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35</v>
      </c>
      <c r="C11" s="32">
        <v>0.31034482758620691</v>
      </c>
      <c r="D11" s="33">
        <f t="shared" si="0"/>
        <v>2.9979310344827588</v>
      </c>
      <c r="E11" s="34">
        <v>65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18</v>
      </c>
      <c r="C12" s="32">
        <v>0.30172413793103448</v>
      </c>
      <c r="D12" s="33">
        <f t="shared" si="0"/>
        <v>2.9146551724137932</v>
      </c>
      <c r="E12" s="34">
        <v>65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9.66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Mélèze d'Europe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12</v>
      </c>
      <c r="B36" s="60">
        <v>103</v>
      </c>
      <c r="C36" s="60">
        <v>0</v>
      </c>
      <c r="D36" s="60">
        <v>0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8.5833333333333339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18</v>
      </c>
      <c r="B37" s="60">
        <v>262</v>
      </c>
      <c r="C37" s="60">
        <v>0</v>
      </c>
      <c r="D37" s="60">
        <v>0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26.5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24</v>
      </c>
      <c r="B38" s="60">
        <v>423</v>
      </c>
      <c r="C38" s="60">
        <v>0</v>
      </c>
      <c r="D38" s="60">
        <v>0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26.833333333333332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30</v>
      </c>
      <c r="B39" s="60">
        <v>583</v>
      </c>
      <c r="C39" s="60">
        <v>1</v>
      </c>
      <c r="D39" s="60">
        <v>107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26.666666666666668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36</v>
      </c>
      <c r="B40" s="60">
        <v>621</v>
      </c>
      <c r="C40" s="60">
        <v>2</v>
      </c>
      <c r="D40" s="60">
        <v>119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24.166666666666668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42</v>
      </c>
      <c r="B41" s="60">
        <v>615</v>
      </c>
      <c r="C41" s="60">
        <v>3</v>
      </c>
      <c r="D41" s="60">
        <v>121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18.833333333333332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48</v>
      </c>
      <c r="B42" s="60">
        <v>600</v>
      </c>
      <c r="C42" s="60">
        <v>4</v>
      </c>
      <c r="D42" s="60">
        <v>123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17.666666666666668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54</v>
      </c>
      <c r="B43" s="60">
        <v>573</v>
      </c>
      <c r="C43" s="60">
        <v>5</v>
      </c>
      <c r="D43" s="60">
        <v>119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60</v>
      </c>
      <c r="B44" s="60">
        <v>534</v>
      </c>
      <c r="C44" s="60">
        <v>6</v>
      </c>
      <c r="D44" s="60">
        <v>112</v>
      </c>
      <c r="E44" s="51">
        <v>0.7</v>
      </c>
      <c r="F44" s="51">
        <v>0.16800000000000001</v>
      </c>
      <c r="G44" s="51">
        <v>0.13200000000000001</v>
      </c>
      <c r="H44" s="51">
        <v>0</v>
      </c>
      <c r="I44" s="49">
        <f t="shared" si="1"/>
        <v>13.333333333333334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66</v>
      </c>
      <c r="B45" s="60">
        <v>502</v>
      </c>
      <c r="C45" s="60">
        <v>7</v>
      </c>
      <c r="D45" s="60">
        <v>109</v>
      </c>
      <c r="E45" s="51">
        <v>0.7</v>
      </c>
      <c r="F45" s="51">
        <v>0.16800000000000001</v>
      </c>
      <c r="G45" s="51">
        <v>0.13200000000000001</v>
      </c>
      <c r="H45" s="51">
        <v>0</v>
      </c>
      <c r="I45" s="49">
        <f t="shared" si="1"/>
        <v>13.333333333333334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72</v>
      </c>
      <c r="B46" s="60">
        <v>463</v>
      </c>
      <c r="C46" s="60">
        <v>8</v>
      </c>
      <c r="D46" s="60">
        <v>101</v>
      </c>
      <c r="E46" s="51">
        <v>0.7</v>
      </c>
      <c r="F46" s="51">
        <v>0.16800000000000001</v>
      </c>
      <c r="G46" s="51">
        <v>0.13200000000000001</v>
      </c>
      <c r="H46" s="51">
        <v>0</v>
      </c>
      <c r="I46" s="49">
        <f t="shared" si="1"/>
        <v>11.666666666666666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78</v>
      </c>
      <c r="B47" s="60">
        <v>426</v>
      </c>
      <c r="C47" s="60" t="s">
        <v>324</v>
      </c>
      <c r="D47" s="60">
        <v>426</v>
      </c>
      <c r="E47" s="51">
        <v>0.7</v>
      </c>
      <c r="F47" s="51">
        <v>0.16800000000000001</v>
      </c>
      <c r="G47" s="51">
        <v>0.13200000000000001</v>
      </c>
      <c r="H47" s="51">
        <v>0</v>
      </c>
      <c r="I47" s="49">
        <f t="shared" si="1"/>
        <v>10.666666666666666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304">
        <v>20</v>
      </c>
      <c r="B62" s="60">
        <v>158</v>
      </c>
      <c r="C62" s="60">
        <v>1</v>
      </c>
      <c r="D62" s="60">
        <v>31.6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30</v>
      </c>
      <c r="B63" s="60">
        <v>218.4</v>
      </c>
      <c r="C63" s="60">
        <v>2</v>
      </c>
      <c r="D63" s="60">
        <v>43.680000000000007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9.1999999999999993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40</v>
      </c>
      <c r="B64" s="60">
        <v>274.72000000000003</v>
      </c>
      <c r="C64" s="60">
        <v>3</v>
      </c>
      <c r="D64" s="60">
        <v>54.94400000000001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10.000000000000004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50</v>
      </c>
      <c r="B65" s="60">
        <v>334.77600000000001</v>
      </c>
      <c r="C65" s="60">
        <v>4</v>
      </c>
      <c r="D65" s="60">
        <v>66.955200000000005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11.5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60</v>
      </c>
      <c r="B66" s="60">
        <v>402.82080000000002</v>
      </c>
      <c r="C66" s="60">
        <v>5</v>
      </c>
      <c r="D66" s="60">
        <v>80.564160000000015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13.5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70</v>
      </c>
      <c r="B67" s="60">
        <v>477.25664</v>
      </c>
      <c r="C67" s="60">
        <v>6</v>
      </c>
      <c r="D67" s="60">
        <v>95.451328000000004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15.5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80</v>
      </c>
      <c r="B68" s="60">
        <v>551.80531199999996</v>
      </c>
      <c r="C68" s="60">
        <v>7</v>
      </c>
      <c r="D68" s="60">
        <v>110.36106239999999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16.999999999999993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90</v>
      </c>
      <c r="B69" s="50">
        <v>616.44424959999992</v>
      </c>
      <c r="C69" s="50">
        <v>8</v>
      </c>
      <c r="D69" s="50">
        <v>123.28884991999999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17.499999999999993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100</v>
      </c>
      <c r="B70" s="50">
        <v>678.15539967999996</v>
      </c>
      <c r="C70" s="50" t="s">
        <v>324</v>
      </c>
      <c r="D70" s="50">
        <v>678.15539967999996</v>
      </c>
      <c r="E70" s="51">
        <v>0.7</v>
      </c>
      <c r="F70" s="51">
        <v>0.16800000000000001</v>
      </c>
      <c r="G70" s="51">
        <v>0.13200000000000001</v>
      </c>
      <c r="H70" s="51">
        <v>0</v>
      </c>
      <c r="I70" s="49">
        <f t="shared" si="2"/>
        <v>18.5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17</v>
      </c>
      <c r="B88" s="60">
        <v>118</v>
      </c>
      <c r="C88" s="60">
        <v>1</v>
      </c>
      <c r="D88" s="60">
        <v>15</v>
      </c>
      <c r="E88" s="51">
        <v>0</v>
      </c>
      <c r="F88" s="51">
        <v>0.56000000000000005</v>
      </c>
      <c r="G88" s="51">
        <v>0.44</v>
      </c>
      <c r="H88" s="87">
        <v>0</v>
      </c>
      <c r="I88" s="53">
        <f>IFERROR(B88/A88,"")</f>
        <v>6.9411764705882355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20</v>
      </c>
      <c r="B89" s="60">
        <v>137</v>
      </c>
      <c r="C89" s="60">
        <v>2</v>
      </c>
      <c r="D89" s="60">
        <v>15</v>
      </c>
      <c r="E89" s="51">
        <v>0.7</v>
      </c>
      <c r="F89" s="51">
        <v>0.16800000000000001</v>
      </c>
      <c r="G89" s="51">
        <v>0.13200000000000001</v>
      </c>
      <c r="H89" s="87">
        <v>0</v>
      </c>
      <c r="I89" s="53">
        <f t="shared" ref="I89:I107" si="3">IF(A89&lt;&gt;0,(B89-(B88-D88))/(A89-A88),"")</f>
        <v>11.333333333333334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25</v>
      </c>
      <c r="B90" s="60">
        <v>204</v>
      </c>
      <c r="C90" s="60">
        <v>3</v>
      </c>
      <c r="D90" s="60">
        <v>36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16.399999999999999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30</v>
      </c>
      <c r="B91" s="60">
        <v>256</v>
      </c>
      <c r="C91" s="60">
        <v>4</v>
      </c>
      <c r="D91" s="60">
        <v>54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3"/>
        <v>17.600000000000001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35</v>
      </c>
      <c r="B92" s="60">
        <v>299</v>
      </c>
      <c r="C92" s="60">
        <v>5</v>
      </c>
      <c r="D92" s="60">
        <v>55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19.399999999999999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40</v>
      </c>
      <c r="B93" s="60">
        <v>332</v>
      </c>
      <c r="C93" s="60">
        <v>6</v>
      </c>
      <c r="D93" s="60">
        <v>48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17.600000000000001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45</v>
      </c>
      <c r="B94" s="60">
        <v>384</v>
      </c>
      <c r="C94" s="60">
        <v>7</v>
      </c>
      <c r="D94" s="60">
        <v>57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20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50</v>
      </c>
      <c r="B95" s="60">
        <v>414</v>
      </c>
      <c r="C95" s="60">
        <v>8</v>
      </c>
      <c r="D95" s="60">
        <v>47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3"/>
        <v>17.399999999999999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55</v>
      </c>
      <c r="B96" s="60">
        <v>463</v>
      </c>
      <c r="C96" s="60">
        <v>9</v>
      </c>
      <c r="D96" s="60">
        <v>48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3"/>
        <v>19.2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60</v>
      </c>
      <c r="B97" s="60">
        <v>500</v>
      </c>
      <c r="C97" s="60">
        <v>10</v>
      </c>
      <c r="D97" s="60">
        <v>32</v>
      </c>
      <c r="E97" s="87">
        <v>0.7</v>
      </c>
      <c r="F97" s="87">
        <v>0.16800000000000001</v>
      </c>
      <c r="G97" s="87">
        <v>0.13200000000000001</v>
      </c>
      <c r="H97" s="87">
        <v>0</v>
      </c>
      <c r="I97" s="53">
        <f t="shared" si="3"/>
        <v>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65</v>
      </c>
      <c r="B98" s="60">
        <v>555</v>
      </c>
      <c r="C98" s="60" t="s">
        <v>324</v>
      </c>
      <c r="D98" s="60">
        <v>555</v>
      </c>
      <c r="E98" s="87">
        <v>0.7</v>
      </c>
      <c r="F98" s="87">
        <v>0.16800000000000001</v>
      </c>
      <c r="G98" s="87">
        <v>0.13200000000000001</v>
      </c>
      <c r="H98" s="87">
        <v>0</v>
      </c>
      <c r="I98" s="53">
        <f t="shared" si="3"/>
        <v>17.399999999999999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Douglas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15</v>
      </c>
      <c r="B114" s="60">
        <v>162</v>
      </c>
      <c r="C114" s="50">
        <v>0</v>
      </c>
      <c r="D114" s="60">
        <v>0</v>
      </c>
      <c r="E114" s="51">
        <v>0</v>
      </c>
      <c r="F114" s="51">
        <v>0.56000000000000005</v>
      </c>
      <c r="G114" s="51">
        <v>0.44</v>
      </c>
      <c r="H114" s="51">
        <v>0</v>
      </c>
      <c r="I114" s="53">
        <f>IFERROR(B114/A114,"")</f>
        <v>10.8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20</v>
      </c>
      <c r="B115" s="60">
        <v>303</v>
      </c>
      <c r="C115" s="50">
        <v>1</v>
      </c>
      <c r="D115" s="60">
        <v>43</v>
      </c>
      <c r="E115" s="51">
        <v>0</v>
      </c>
      <c r="F115" s="51">
        <v>0.56000000000000005</v>
      </c>
      <c r="G115" s="51">
        <v>0.44</v>
      </c>
      <c r="H115" s="51">
        <v>0</v>
      </c>
      <c r="I115" s="53">
        <f t="shared" ref="I115:I133" si="4">IF(A115&lt;&gt;0,(B115-(B114-D114))/(A115-A114),"")</f>
        <v>28.2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25</v>
      </c>
      <c r="B116" s="60">
        <v>419</v>
      </c>
      <c r="C116" s="50">
        <v>2</v>
      </c>
      <c r="D116" s="60">
        <v>60</v>
      </c>
      <c r="E116" s="51">
        <v>0.7</v>
      </c>
      <c r="F116" s="51">
        <v>0.16800000000000001</v>
      </c>
      <c r="G116" s="51">
        <v>0.13200000000000001</v>
      </c>
      <c r="H116" s="51">
        <v>0</v>
      </c>
      <c r="I116" s="53">
        <f t="shared" si="4"/>
        <v>31.8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30</v>
      </c>
      <c r="B117" s="60">
        <v>524</v>
      </c>
      <c r="C117" s="50">
        <v>3</v>
      </c>
      <c r="D117" s="60">
        <v>90</v>
      </c>
      <c r="E117" s="51">
        <v>0.7</v>
      </c>
      <c r="F117" s="51">
        <v>0.16800000000000001</v>
      </c>
      <c r="G117" s="51">
        <v>0.13200000000000001</v>
      </c>
      <c r="H117" s="51">
        <v>0</v>
      </c>
      <c r="I117" s="53">
        <f t="shared" si="4"/>
        <v>33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35</v>
      </c>
      <c r="B118" s="60">
        <v>576</v>
      </c>
      <c r="C118" s="50">
        <v>4</v>
      </c>
      <c r="D118" s="60">
        <v>72</v>
      </c>
      <c r="E118" s="51">
        <v>0.7</v>
      </c>
      <c r="F118" s="51">
        <v>0.16800000000000001</v>
      </c>
      <c r="G118" s="51">
        <v>0.13200000000000001</v>
      </c>
      <c r="H118" s="51">
        <v>0</v>
      </c>
      <c r="I118" s="53">
        <f t="shared" si="4"/>
        <v>28.4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40</v>
      </c>
      <c r="B119" s="60">
        <v>639</v>
      </c>
      <c r="C119" s="50">
        <v>5</v>
      </c>
      <c r="D119" s="60">
        <v>77</v>
      </c>
      <c r="E119" s="51">
        <v>0.7</v>
      </c>
      <c r="F119" s="51">
        <v>0.16800000000000001</v>
      </c>
      <c r="G119" s="51">
        <v>0.13200000000000001</v>
      </c>
      <c r="H119" s="51">
        <v>0</v>
      </c>
      <c r="I119" s="53">
        <f t="shared" si="4"/>
        <v>27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45</v>
      </c>
      <c r="B120" s="60">
        <v>686</v>
      </c>
      <c r="C120" s="60">
        <v>6</v>
      </c>
      <c r="D120" s="60">
        <v>64</v>
      </c>
      <c r="E120" s="87">
        <v>0.7</v>
      </c>
      <c r="F120" s="87">
        <v>0.16800000000000001</v>
      </c>
      <c r="G120" s="87">
        <v>0.13200000000000001</v>
      </c>
      <c r="H120" s="87">
        <v>0</v>
      </c>
      <c r="I120" s="53">
        <f t="shared" si="4"/>
        <v>24.8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50</v>
      </c>
      <c r="B121" s="60">
        <v>724</v>
      </c>
      <c r="C121" s="60">
        <v>7</v>
      </c>
      <c r="D121" s="60">
        <v>62</v>
      </c>
      <c r="E121" s="87">
        <v>0.7</v>
      </c>
      <c r="F121" s="87">
        <v>0.16800000000000001</v>
      </c>
      <c r="G121" s="87">
        <v>0.13200000000000001</v>
      </c>
      <c r="H121" s="87">
        <v>0</v>
      </c>
      <c r="I121" s="53">
        <f t="shared" si="4"/>
        <v>20.399999999999999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55</v>
      </c>
      <c r="B122" s="60">
        <v>739</v>
      </c>
      <c r="C122" s="60">
        <v>8</v>
      </c>
      <c r="D122" s="60">
        <v>46</v>
      </c>
      <c r="E122" s="87">
        <v>0.7</v>
      </c>
      <c r="F122" s="87">
        <v>0.16800000000000001</v>
      </c>
      <c r="G122" s="87">
        <v>0.13200000000000001</v>
      </c>
      <c r="H122" s="87">
        <v>0</v>
      </c>
      <c r="I122" s="53">
        <f t="shared" si="4"/>
        <v>15.4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60</v>
      </c>
      <c r="B123" s="60">
        <v>754</v>
      </c>
      <c r="C123" s="60">
        <v>9</v>
      </c>
      <c r="D123" s="60">
        <v>35</v>
      </c>
      <c r="E123" s="87">
        <v>0.7</v>
      </c>
      <c r="F123" s="87">
        <v>0.16800000000000001</v>
      </c>
      <c r="G123" s="87">
        <v>0.13200000000000001</v>
      </c>
      <c r="H123" s="87">
        <v>0</v>
      </c>
      <c r="I123" s="53">
        <f t="shared" si="4"/>
        <v>12.2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65</v>
      </c>
      <c r="B124" s="60">
        <v>769</v>
      </c>
      <c r="C124" s="60" t="s">
        <v>324</v>
      </c>
      <c r="D124" s="60">
        <v>769</v>
      </c>
      <c r="E124" s="87">
        <v>0.7</v>
      </c>
      <c r="F124" s="87">
        <v>0.16800000000000001</v>
      </c>
      <c r="G124" s="87">
        <v>0.13200000000000001</v>
      </c>
      <c r="H124" s="87">
        <v>0</v>
      </c>
      <c r="I124" s="53">
        <f t="shared" si="4"/>
        <v>10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8" sqref="G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Mélèze d'Europe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Douglas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482.28841373508675</v>
      </c>
      <c r="T3" s="59">
        <f>IF('Données projet'!E9&gt;30,$R$33-$H$33,LOOKUP('Données projet'!$E$9,$A$3:$A$203,R3:R203)-LOOKUP('Données projet'!$E$9,$A$3:$A$203,$H$3:$H$203))</f>
        <v>746.97309214631684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259.91478350500478</v>
      </c>
      <c r="AO3" s="59">
        <f>IF('Données projet'!E10&gt;30,$AM$33-$H$33,LOOKUP('Données projet'!$E$10,$A$3:$A$203,AM3:AM203)-LOOKUP('Données projet'!$E$10,$A$3:$A$203,$H$3:$H$203))</f>
        <v>192.27194887051007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284.60021367910457</v>
      </c>
      <c r="BJ3" s="59">
        <f>IF('Données projet'!E11&gt;30,$BH$33-$H$33,LOOKUP('Données projet'!$E$11,$A$3:$A$203,BH3:BH203)-LOOKUP('Données projet'!$E$11,$A$3:$A$203,$H$3:$H$203))</f>
        <v>301.41905904220812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490.96084572840579</v>
      </c>
      <c r="CE3" s="59">
        <f>IF('Données projet'!E12&gt;30,$CC$33-$H$33,LOOKUP('Données projet'!$E$12,$A$3:$A$203,CC3:CC203)-LOOKUP('Données projet'!$E$12,$A$3:$A$203,$H$3:$H$203))</f>
        <v>597.91658789908263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8.5833333333333339</v>
      </c>
      <c r="N4" s="13">
        <f>IF('Données projet'!$A$36&gt;35,N3+M4-V3,IF(A4&lt;'Données projet'!$A$36,$K$205^A4,IF(A4='Données projet'!$A$36,'Données projet'!$B$36,N3+M4-V3)))</f>
        <v>1.4714192565876152</v>
      </c>
      <c r="O4" s="13">
        <f>N4*VLOOKUP('Données projet'!$B$9,Paramètres!$A$1:$I$89,3,0)*VLOOKUP('Données projet'!$B$9,Paramètres!$A$1:$I$89,5,0)</f>
        <v>0.91816561611067193</v>
      </c>
      <c r="P4" s="13">
        <f>EXP(-1.0587+0.8836*LN(O4)+0.284)</f>
        <v>0.42735528842602116</v>
      </c>
      <c r="Q4" s="20">
        <f t="shared" ref="Q4:Q34" si="2">(O4+P4)*0.475*44/12</f>
        <v>2.3434489087347408</v>
      </c>
      <c r="R4" s="59">
        <f t="shared" si="0"/>
        <v>295.67678224206804</v>
      </c>
      <c r="S4" s="59">
        <f ca="1">AVERAGE(OFFSET($R$3,0,0,'Données projet'!$E$9+1,1))-AVERAGE(OFFSET($H$3,0,0,'Données projet'!$E$9+1,1))</f>
        <v>482.28841373508675</v>
      </c>
      <c r="T4" s="59">
        <f>$T$3</f>
        <v>746.97309214631684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0.60280758376398436</v>
      </c>
      <c r="AK4" s="13">
        <f>EXP(-1.0587+0.8836*LN(AJ4)+0.284)</f>
        <v>0.29465781953181042</v>
      </c>
      <c r="AL4" s="20">
        <f t="shared" ref="AL4:AL67" si="4">(AJ4+AK4)*0.475*44/12</f>
        <v>1.5630855774068424</v>
      </c>
      <c r="AM4" s="59">
        <f t="shared" ref="AM4:AM67" si="5">AL4+(AD4+AE4)*44/12</f>
        <v>294.89641891074018</v>
      </c>
      <c r="AN4" s="59">
        <f ca="1">AVERAGE(OFFSET($AM$3,0,0,'Données projet'!$E$10+1,1))-AVERAGE(OFFSET($H$3,0,0,'Données projet'!$E$10+1,1))</f>
        <v>259.91478350500478</v>
      </c>
      <c r="AO4" s="59">
        <f>$AO$3</f>
        <v>192.27194887051007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6.9411764705882355</v>
      </c>
      <c r="BD4" s="12">
        <f>IF('Données projet'!$A$88&gt;35,BD3+BC4-BL3,IF(A4&lt;'Données projet'!$A$88,$BA$205^A4,IF(A4='Données projet'!$A$88,'Données projet'!$B$88,BD3+BC4-BL3)))</f>
        <v>1.3239616704988877</v>
      </c>
      <c r="BE4" s="13">
        <f>BD4*VLOOKUP('Données projet'!$B$11,Paramètres!$A$1:$I$89,3,0)*VLOOKUP('Données projet'!$B$11,Paramètres!$A$1:$I$89,5,0)</f>
        <v>0.79172907895833489</v>
      </c>
      <c r="BF4" s="13">
        <f>EXP(-1.0587+0.8836*LN(BE4)+0.284)</f>
        <v>0.37491631974909195</v>
      </c>
      <c r="BG4" s="20">
        <f t="shared" ref="BG4:BG67" si="7">(BE4+BF4)*0.475*44/12</f>
        <v>2.031907402748768</v>
      </c>
      <c r="BH4" s="59">
        <f t="shared" ref="BH4:BH67" si="8">BG4+(AY4+AZ4)*44/12</f>
        <v>295.36524073608206</v>
      </c>
      <c r="BI4" s="59">
        <f ca="1">AVERAGE(OFFSET($BH$3,0,0,'Données projet'!$E$11+1,1))-AVERAGE(OFFSET($H$3,0,0,'Données projet'!$E$11+1,1))</f>
        <v>284.60021367910457</v>
      </c>
      <c r="BJ4" s="59">
        <f>$BJ$3</f>
        <v>301.41905904220812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10.8</v>
      </c>
      <c r="BY4" s="12">
        <f>IF('Données projet'!$A$114&gt;35,BY3+BX4-CG3,IF(A4&lt;'Données projet'!$A$114,$BV$205^A4,IF(A4='Données projet'!$A$114,'Données projet'!$B$114,BY3+BX4-CG3)))</f>
        <v>1.4037863041747067</v>
      </c>
      <c r="BZ4" s="13">
        <f>BY4*VLOOKUP('Données projet'!$B$12,Paramètres!$A$1:$I$89,3,0)*VLOOKUP('Données projet'!$B$12,Paramètres!$A$1:$I$89,5,0)</f>
        <v>0.78471654403366109</v>
      </c>
      <c r="CA4" s="13">
        <f>EXP(-1.0587+0.8836*LN(BZ4)+0.284)</f>
        <v>0.37198061042729702</v>
      </c>
      <c r="CB4" s="20">
        <f t="shared" ref="CB4:CB67" si="10">(BZ4+CA4)*0.475*44/12</f>
        <v>2.0145808773528358</v>
      </c>
      <c r="CC4" s="59">
        <f t="shared" ref="CC4:CC67" si="11">CB4+(BT4+BU4)*44/12</f>
        <v>295.34791421068616</v>
      </c>
      <c r="CD4" s="59">
        <f ca="1">AVERAGE(OFFSET($CC$3,0,0,'Données projet'!$E$12+1,1))-AVERAGE(OFFSET($H$3,0,0,'Données projet'!$E$12+1,1))</f>
        <v>490.96084572840579</v>
      </c>
      <c r="CE4" s="59">
        <f>$CE$3</f>
        <v>597.91658789908263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8.5833333333333339</v>
      </c>
      <c r="N5" s="13">
        <f>IF('Données projet'!$A$36&gt;35,N4+M5-V4,IF(A5&lt;'Données projet'!$A$36,$K$205^A5,IF(A5='Données projet'!$A$36,'Données projet'!$B$36,N4+M5-V4)))</f>
        <v>2.1650746286568503</v>
      </c>
      <c r="O5" s="13">
        <f>N5*VLOOKUP('Données projet'!$B$9,Paramètres!$A$1:$I$89,3,0)*VLOOKUP('Données projet'!$B$9,Paramètres!$A$1:$I$89,5,0)</f>
        <v>1.3510065682818746</v>
      </c>
      <c r="P5" s="13">
        <f t="shared" ref="P5:P68" si="33">EXP(-1.0587+0.8836*LN(O5)+0.284)</f>
        <v>0.60117511749976371</v>
      </c>
      <c r="Q5" s="20">
        <f t="shared" si="2"/>
        <v>3.4000497694030201</v>
      </c>
      <c r="R5" s="59">
        <f t="shared" si="0"/>
        <v>296.73338310273635</v>
      </c>
      <c r="S5" s="59">
        <f ca="1">AVERAGE(OFFSET($R$3,0,0,'Données projet'!$E$9+1,1))-AVERAGE(OFFSET($H$3,0,0,'Données projet'!$E$9+1,1))</f>
        <v>482.28841373508675</v>
      </c>
      <c r="T5" s="59">
        <f t="shared" ref="T5:T68" si="34">$T$3</f>
        <v>746.97309214631684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0.77644654496447219</v>
      </c>
      <c r="AK5" s="13">
        <f t="shared" ref="AK5:AK68" si="35">EXP(-1.0587+0.8836*LN(AJ5)+0.284)</f>
        <v>0.36851455096495994</v>
      </c>
      <c r="AL5" s="20">
        <f t="shared" si="4"/>
        <v>1.9941405754104276</v>
      </c>
      <c r="AM5" s="59">
        <f t="shared" si="5"/>
        <v>295.32747390874374</v>
      </c>
      <c r="AN5" s="59">
        <f ca="1">AVERAGE(OFFSET($AM$3,0,0,'Données projet'!$E$10+1,1))-AVERAGE(OFFSET($H$3,0,0,'Données projet'!$E$10+1,1))</f>
        <v>259.91478350500478</v>
      </c>
      <c r="AO5" s="59">
        <f t="shared" ref="AO5:AO68" si="36">$AO$3</f>
        <v>192.27194887051007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6.9411764705882355</v>
      </c>
      <c r="BD5" s="12">
        <f>IF('Données projet'!$A$88&gt;35,BD4+BC5-BL4,IF(A5&lt;'Données projet'!$A$88,$BA$205^A5,IF(A5='Données projet'!$A$88,'Données projet'!$B$88,BD4+BC5-BL4)))</f>
        <v>1.7528745049502052</v>
      </c>
      <c r="BE5" s="13">
        <f>BD5*VLOOKUP('Données projet'!$B$11,Paramètres!$A$1:$I$89,3,0)*VLOOKUP('Données projet'!$B$11,Paramètres!$A$1:$I$89,5,0)</f>
        <v>1.0482189539602227</v>
      </c>
      <c r="BF5" s="13">
        <f t="shared" ref="BF5:BF68" si="37">EXP(-1.0587+0.8836*LN(BE5)+0.284)</f>
        <v>0.48042263342477459</v>
      </c>
      <c r="BG5" s="20">
        <f t="shared" si="7"/>
        <v>2.6623840980288702</v>
      </c>
      <c r="BH5" s="59">
        <f t="shared" si="8"/>
        <v>295.99571743136221</v>
      </c>
      <c r="BI5" s="59">
        <f ca="1">AVERAGE(OFFSET($BH$3,0,0,'Données projet'!$E$11+1,1))-AVERAGE(OFFSET($H$3,0,0,'Données projet'!$E$11+1,1))</f>
        <v>284.60021367910457</v>
      </c>
      <c r="BJ5" s="59">
        <f t="shared" ref="BJ5:BJ68" si="38">$BJ$3</f>
        <v>301.41905904220812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10.8</v>
      </c>
      <c r="BY5" s="12">
        <f>IF('Données projet'!$A$114&gt;35,BY4+BX5-CG4,IF(A5&lt;'Données projet'!$A$114,$BV$205^A5,IF(A5='Données projet'!$A$114,'Données projet'!$B$114,BY4+BX5-CG4)))</f>
        <v>1.9706159877884823</v>
      </c>
      <c r="BZ5" s="13">
        <f>BY5*VLOOKUP('Données projet'!$B$12,Paramètres!$A$1:$I$89,3,0)*VLOOKUP('Données projet'!$B$12,Paramètres!$A$1:$I$89,5,0)</f>
        <v>1.1015743371737616</v>
      </c>
      <c r="CA5" s="13">
        <f t="shared" ref="CA5:CA68" si="39">EXP(-1.0587+0.8836*LN(BZ5)+0.284)</f>
        <v>0.50196734705126034</v>
      </c>
      <c r="CB5" s="20">
        <f t="shared" si="10"/>
        <v>2.7928351000252465</v>
      </c>
      <c r="CC5" s="59">
        <f t="shared" si="11"/>
        <v>296.12616843335854</v>
      </c>
      <c r="CD5" s="59">
        <f ca="1">AVERAGE(OFFSET($CC$3,0,0,'Données projet'!$E$12+1,1))-AVERAGE(OFFSET($H$3,0,0,'Données projet'!$E$12+1,1))</f>
        <v>490.96084572840579</v>
      </c>
      <c r="CE5" s="59">
        <f t="shared" ref="CE5:CE68" si="40">$CE$3</f>
        <v>597.91658789908263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8.5833333333333339</v>
      </c>
      <c r="N6" s="13">
        <f>IF('Données projet'!$A$36&gt;35,N5+M6-V5,IF(A6&lt;'Données projet'!$A$36,$K$205^A6,IF(A6='Données projet'!$A$36,'Données projet'!$B$36,N5+M6-V5)))</f>
        <v>3.1857325005549697</v>
      </c>
      <c r="O6" s="13">
        <f>N6*VLOOKUP('Données projet'!$B$9,Paramètres!$A$1:$I$89,3,0)*VLOOKUP('Données projet'!$B$9,Paramètres!$A$1:$I$89,5,0)</f>
        <v>1.9878970803463012</v>
      </c>
      <c r="P6" s="13">
        <f t="shared" si="33"/>
        <v>0.84569334155652565</v>
      </c>
      <c r="Q6" s="20">
        <f t="shared" si="2"/>
        <v>4.93516998481409</v>
      </c>
      <c r="R6" s="59">
        <f t="shared" si="0"/>
        <v>298.2685033181474</v>
      </c>
      <c r="S6" s="59">
        <f ca="1">AVERAGE(OFFSET($R$3,0,0,'Données projet'!$E$9+1,1))-AVERAGE(OFFSET($H$3,0,0,'Données projet'!$E$9+1,1))</f>
        <v>482.28841373508675</v>
      </c>
      <c r="T6" s="59">
        <f t="shared" si="34"/>
        <v>746.97309214631684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1.0001022771195029</v>
      </c>
      <c r="AK6" s="13">
        <f t="shared" si="35"/>
        <v>0.46088365986243646</v>
      </c>
      <c r="AL6" s="20">
        <f t="shared" si="4"/>
        <v>2.5445505069102112</v>
      </c>
      <c r="AM6" s="59">
        <f t="shared" si="5"/>
        <v>295.8778838402435</v>
      </c>
      <c r="AN6" s="59">
        <f ca="1">AVERAGE(OFFSET($AM$3,0,0,'Données projet'!$E$10+1,1))-AVERAGE(OFFSET($H$3,0,0,'Données projet'!$E$10+1,1))</f>
        <v>259.91478350500478</v>
      </c>
      <c r="AO6" s="59">
        <f t="shared" si="36"/>
        <v>192.27194887051007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6.9411764705882355</v>
      </c>
      <c r="BD6" s="12">
        <f>IF('Données projet'!$A$88&gt;35,BD5+BC6-BL5,IF(A6&lt;'Données projet'!$A$88,$BA$205^A6,IF(A6='Données projet'!$A$88,'Données projet'!$B$88,BD5+BC6-BL5)))</f>
        <v>2.3207386577487843</v>
      </c>
      <c r="BE6" s="13">
        <f>BD6*VLOOKUP('Données projet'!$B$11,Paramètres!$A$1:$I$89,3,0)*VLOOKUP('Données projet'!$B$11,Paramètres!$A$1:$I$89,5,0)</f>
        <v>1.3878017173337731</v>
      </c>
      <c r="BF6" s="13">
        <f t="shared" si="37"/>
        <v>0.61561979180116611</v>
      </c>
      <c r="BG6" s="20">
        <f t="shared" si="7"/>
        <v>3.4892924617433518</v>
      </c>
      <c r="BH6" s="59">
        <f t="shared" si="8"/>
        <v>296.82262579507665</v>
      </c>
      <c r="BI6" s="59">
        <f ca="1">AVERAGE(OFFSET($BH$3,0,0,'Données projet'!$E$11+1,1))-AVERAGE(OFFSET($H$3,0,0,'Données projet'!$E$11+1,1))</f>
        <v>284.60021367910457</v>
      </c>
      <c r="BJ6" s="59">
        <f t="shared" si="38"/>
        <v>301.41905904220812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10.8</v>
      </c>
      <c r="BY6" s="12">
        <f>IF('Données projet'!$A$114&gt;35,BY5+BX6-CG5,IF(A6&lt;'Données projet'!$A$114,$BV$205^A6,IF(A6='Données projet'!$A$114,'Données projet'!$B$114,BY5+BX6-CG5)))</f>
        <v>2.7663237344451828</v>
      </c>
      <c r="BZ6" s="13">
        <f>BY6*VLOOKUP('Données projet'!$B$12,Paramètres!$A$1:$I$89,3,0)*VLOOKUP('Données projet'!$B$12,Paramètres!$A$1:$I$89,5,0)</f>
        <v>1.5463749675548573</v>
      </c>
      <c r="CA6" s="13">
        <f t="shared" si="39"/>
        <v>0.6773772891448272</v>
      </c>
      <c r="CB6" s="20">
        <f t="shared" si="10"/>
        <v>3.8730351804186167</v>
      </c>
      <c r="CC6" s="59">
        <f t="shared" si="11"/>
        <v>297.20636851375195</v>
      </c>
      <c r="CD6" s="59">
        <f ca="1">AVERAGE(OFFSET($CC$3,0,0,'Données projet'!$E$12+1,1))-AVERAGE(OFFSET($H$3,0,0,'Données projet'!$E$12+1,1))</f>
        <v>490.96084572840579</v>
      </c>
      <c r="CE6" s="59">
        <f t="shared" si="40"/>
        <v>597.91658789908263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8.5833333333333339</v>
      </c>
      <c r="N7" s="13">
        <f>IF('Données projet'!$A$36&gt;35,N6+M7-V6,IF(A7&lt;'Données projet'!$A$36,$K$205^A7,IF(A7='Données projet'!$A$36,'Données projet'!$B$36,N6+M7-V6)))</f>
        <v>4.6875481476535983</v>
      </c>
      <c r="O7" s="13">
        <f>N7*VLOOKUP('Données projet'!$B$9,Paramètres!$A$1:$I$89,3,0)*VLOOKUP('Données projet'!$B$9,Paramètres!$A$1:$I$89,5,0)</f>
        <v>2.9250300441358457</v>
      </c>
      <c r="P7" s="13">
        <f t="shared" si="33"/>
        <v>1.1896653855660013</v>
      </c>
      <c r="Q7" s="20">
        <f t="shared" si="2"/>
        <v>7.1664278733973825</v>
      </c>
      <c r="R7" s="59">
        <f t="shared" si="0"/>
        <v>300.49976120673068</v>
      </c>
      <c r="S7" s="59">
        <f ca="1">AVERAGE(OFFSET($R$3,0,0,'Données projet'!$E$9+1,1))-AVERAGE(OFFSET($H$3,0,0,'Données projet'!$E$9+1,1))</f>
        <v>482.28841373508675</v>
      </c>
      <c r="T7" s="59">
        <f t="shared" si="34"/>
        <v>746.97309214631684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1.2881821307420218</v>
      </c>
      <c r="AK7" s="13">
        <f t="shared" si="35"/>
        <v>0.57640532069082717</v>
      </c>
      <c r="AL7" s="20">
        <f t="shared" si="4"/>
        <v>3.2474898112455457</v>
      </c>
      <c r="AM7" s="59">
        <f t="shared" si="5"/>
        <v>296.58082314457886</v>
      </c>
      <c r="AN7" s="59">
        <f ca="1">AVERAGE(OFFSET($AM$3,0,0,'Données projet'!$E$10+1,1))-AVERAGE(OFFSET($H$3,0,0,'Données projet'!$E$10+1,1))</f>
        <v>259.91478350500478</v>
      </c>
      <c r="AO7" s="59">
        <f t="shared" si="36"/>
        <v>192.27194887051007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6.9411764705882355</v>
      </c>
      <c r="BD7" s="12">
        <f>IF('Données projet'!$A$88&gt;35,BD6+BC7-BL6,IF(A7&lt;'Données projet'!$A$88,$BA$205^A7,IF(A7='Données projet'!$A$88,'Données projet'!$B$88,BD6+BC7-BL6)))</f>
        <v>3.0725690301044271</v>
      </c>
      <c r="BE7" s="13">
        <f>BD7*VLOOKUP('Données projet'!$B$11,Paramètres!$A$1:$I$89,3,0)*VLOOKUP('Données projet'!$B$11,Paramètres!$A$1:$I$89,5,0)</f>
        <v>1.8373962800024475</v>
      </c>
      <c r="BF7" s="13">
        <f t="shared" si="37"/>
        <v>0.78886318355909346</v>
      </c>
      <c r="BG7" s="20">
        <f t="shared" si="7"/>
        <v>4.5740685657030165</v>
      </c>
      <c r="BH7" s="59">
        <f t="shared" si="8"/>
        <v>297.90740189903636</v>
      </c>
      <c r="BI7" s="59">
        <f ca="1">AVERAGE(OFFSET($BH$3,0,0,'Données projet'!$E$11+1,1))-AVERAGE(OFFSET($H$3,0,0,'Données projet'!$E$11+1,1))</f>
        <v>284.60021367910457</v>
      </c>
      <c r="BJ7" s="59">
        <f t="shared" si="38"/>
        <v>301.41905904220812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10.8</v>
      </c>
      <c r="BY7" s="12">
        <f>IF('Données projet'!$A$114&gt;35,BY6+BX7-CG6,IF(A7&lt;'Données projet'!$A$114,$BV$205^A7,IF(A7='Données projet'!$A$114,'Données projet'!$B$114,BY6+BX7-CG6)))</f>
        <v>3.8833273713275762</v>
      </c>
      <c r="BZ7" s="13">
        <f>BY7*VLOOKUP('Données projet'!$B$12,Paramètres!$A$1:$I$89,3,0)*VLOOKUP('Données projet'!$B$12,Paramètres!$A$1:$I$89,5,0)</f>
        <v>2.170780000572115</v>
      </c>
      <c r="CA7" s="13">
        <f t="shared" si="39"/>
        <v>0.91408334535022773</v>
      </c>
      <c r="CB7" s="20">
        <f t="shared" si="10"/>
        <v>5.3728036608147471</v>
      </c>
      <c r="CC7" s="59">
        <f t="shared" si="11"/>
        <v>298.70613699414804</v>
      </c>
      <c r="CD7" s="59">
        <f ca="1">AVERAGE(OFFSET($CC$3,0,0,'Données projet'!$E$12+1,1))-AVERAGE(OFFSET($H$3,0,0,'Données projet'!$E$12+1,1))</f>
        <v>490.96084572840579</v>
      </c>
      <c r="CE7" s="59">
        <f t="shared" si="40"/>
        <v>597.91658789908263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8.5833333333333339</v>
      </c>
      <c r="N8" s="13">
        <f>IF('Données projet'!$A$36&gt;35,N7+M8-V7,IF(A8&lt;'Données projet'!$A$36,$K$205^A8,IF(A8='Données projet'!$A$36,'Données projet'!$B$36,N7+M8-V7)))</f>
        <v>6.89734861063911</v>
      </c>
      <c r="O8" s="13">
        <f>N8*VLOOKUP('Données projet'!$B$9,Paramètres!$A$1:$I$89,3,0)*VLOOKUP('Données projet'!$B$9,Paramètres!$A$1:$I$89,5,0)</f>
        <v>4.3039455330388048</v>
      </c>
      <c r="P8" s="13">
        <f t="shared" si="33"/>
        <v>1.6735424770035323</v>
      </c>
      <c r="Q8" s="20">
        <f t="shared" si="2"/>
        <v>10.410791617490402</v>
      </c>
      <c r="R8" s="59">
        <f t="shared" si="0"/>
        <v>303.74412495082373</v>
      </c>
      <c r="S8" s="59">
        <f ca="1">AVERAGE(OFFSET($R$3,0,0,'Données projet'!$E$9+1,1))-AVERAGE(OFFSET($H$3,0,0,'Données projet'!$E$9+1,1))</f>
        <v>482.28841373508675</v>
      </c>
      <c r="T8" s="59">
        <f t="shared" si="34"/>
        <v>746.97309214631684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1.6592434993173915</v>
      </c>
      <c r="AK8" s="13">
        <f t="shared" si="35"/>
        <v>0.72088277944126433</v>
      </c>
      <c r="AL8" s="20">
        <f t="shared" si="4"/>
        <v>4.1453866021713255</v>
      </c>
      <c r="AM8" s="59">
        <f t="shared" si="5"/>
        <v>297.47871993550461</v>
      </c>
      <c r="AN8" s="59">
        <f ca="1">AVERAGE(OFFSET($AM$3,0,0,'Données projet'!$E$10+1,1))-AVERAGE(OFFSET($H$3,0,0,'Données projet'!$E$10+1,1))</f>
        <v>259.91478350500478</v>
      </c>
      <c r="AO8" s="59">
        <f t="shared" si="36"/>
        <v>192.27194887051007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6.9411764705882355</v>
      </c>
      <c r="BD8" s="12">
        <f>IF('Données projet'!$A$88&gt;35,BD7+BC8-BL7,IF(A8&lt;'Données projet'!$A$88,$BA$205^A8,IF(A8='Données projet'!$A$88,'Données projet'!$B$88,BD7+BC8-BL7)))</f>
        <v>4.0679636258202043</v>
      </c>
      <c r="BE8" s="13">
        <f>BD8*VLOOKUP('Données projet'!$B$11,Paramètres!$A$1:$I$89,3,0)*VLOOKUP('Données projet'!$B$11,Paramètres!$A$1:$I$89,5,0)</f>
        <v>2.4326422482404824</v>
      </c>
      <c r="BF8" s="13">
        <f t="shared" si="37"/>
        <v>1.0108595120931088</v>
      </c>
      <c r="BG8" s="20">
        <f t="shared" si="7"/>
        <v>5.9974322325810041</v>
      </c>
      <c r="BH8" s="59">
        <f t="shared" si="8"/>
        <v>299.33076556591431</v>
      </c>
      <c r="BI8" s="59">
        <f ca="1">AVERAGE(OFFSET($BH$3,0,0,'Données projet'!$E$11+1,1))-AVERAGE(OFFSET($H$3,0,0,'Données projet'!$E$11+1,1))</f>
        <v>284.60021367910457</v>
      </c>
      <c r="BJ8" s="59">
        <f t="shared" si="38"/>
        <v>301.41905904220812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10.8</v>
      </c>
      <c r="BY8" s="12">
        <f>IF('Données projet'!$A$114&gt;35,BY7+BX8-CG7,IF(A8&lt;'Données projet'!$A$114,$BV$205^A8,IF(A8='Données projet'!$A$114,'Données projet'!$B$114,BY7+BX8-CG7)))</f>
        <v>5.451361778496417</v>
      </c>
      <c r="BZ8" s="13">
        <f>BY8*VLOOKUP('Données projet'!$B$12,Paramètres!$A$1:$I$89,3,0)*VLOOKUP('Données projet'!$B$12,Paramètres!$A$1:$I$89,5,0)</f>
        <v>3.0473112341794972</v>
      </c>
      <c r="CA8" s="13">
        <f t="shared" si="39"/>
        <v>1.2335051316844765</v>
      </c>
      <c r="CB8" s="20">
        <f t="shared" si="10"/>
        <v>7.4557551705464205</v>
      </c>
      <c r="CC8" s="59">
        <f t="shared" si="11"/>
        <v>300.78908850387973</v>
      </c>
      <c r="CD8" s="59">
        <f ca="1">AVERAGE(OFFSET($CC$3,0,0,'Données projet'!$E$12+1,1))-AVERAGE(OFFSET($H$3,0,0,'Données projet'!$E$12+1,1))</f>
        <v>490.96084572840579</v>
      </c>
      <c r="CE8" s="59">
        <f t="shared" si="40"/>
        <v>597.91658789908263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8.5833333333333339</v>
      </c>
      <c r="N9" s="13">
        <f>IF('Données projet'!$A$36&gt;35,N8+M9-V8,IF(A9&lt;'Données projet'!$A$36,$K$205^A9,IF(A9='Données projet'!$A$36,'Données projet'!$B$36,N8+M9-V8)))</f>
        <v>10.148891565092221</v>
      </c>
      <c r="O9" s="13">
        <f>N9*VLOOKUP('Données projet'!$B$9,Paramètres!$A$1:$I$89,3,0)*VLOOKUP('Données projet'!$B$9,Paramètres!$A$1:$I$89,5,0)</f>
        <v>6.3329083366175452</v>
      </c>
      <c r="P9" s="13">
        <f t="shared" si="33"/>
        <v>2.3542287237369877</v>
      </c>
      <c r="Q9" s="20">
        <f t="shared" si="2"/>
        <v>15.130097046784146</v>
      </c>
      <c r="R9" s="59">
        <f t="shared" si="0"/>
        <v>308.46343038011747</v>
      </c>
      <c r="S9" s="59">
        <f ca="1">AVERAGE(OFFSET($R$3,0,0,'Données projet'!$E$9+1,1))-AVERAGE(OFFSET($H$3,0,0,'Données projet'!$E$9+1,1))</f>
        <v>482.28841373508675</v>
      </c>
      <c r="T9" s="59">
        <f t="shared" si="34"/>
        <v>746.97309214631684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2.1371892408111433</v>
      </c>
      <c r="AK9" s="13">
        <f t="shared" si="35"/>
        <v>0.9015738804633705</v>
      </c>
      <c r="AL9" s="20">
        <f t="shared" si="4"/>
        <v>5.292512436219778</v>
      </c>
      <c r="AM9" s="59">
        <f t="shared" si="5"/>
        <v>298.62584576955311</v>
      </c>
      <c r="AN9" s="59">
        <f ca="1">AVERAGE(OFFSET($AM$3,0,0,'Données projet'!$E$10+1,1))-AVERAGE(OFFSET($H$3,0,0,'Données projet'!$E$10+1,1))</f>
        <v>259.91478350500478</v>
      </c>
      <c r="AO9" s="59">
        <f t="shared" si="36"/>
        <v>192.27194887051007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6.9411764705882355</v>
      </c>
      <c r="BD9" s="12">
        <f>IF('Données projet'!$A$88&gt;35,BD8+BC9-BL8,IF(A9&lt;'Données projet'!$A$88,$BA$205^A9,IF(A9='Données projet'!$A$88,'Données projet'!$B$88,BD8+BC9-BL8)))</f>
        <v>5.38582791756963</v>
      </c>
      <c r="BE9" s="13">
        <f>BD9*VLOOKUP('Données projet'!$B$11,Paramètres!$A$1:$I$89,3,0)*VLOOKUP('Données projet'!$B$11,Paramètres!$A$1:$I$89,5,0)</f>
        <v>3.2207250947066388</v>
      </c>
      <c r="BF9" s="13">
        <f t="shared" si="37"/>
        <v>1.2953284859599137</v>
      </c>
      <c r="BG9" s="20">
        <f t="shared" si="7"/>
        <v>7.8654599863275783</v>
      </c>
      <c r="BH9" s="59">
        <f t="shared" si="8"/>
        <v>301.19879331966087</v>
      </c>
      <c r="BI9" s="59">
        <f ca="1">AVERAGE(OFFSET($BH$3,0,0,'Données projet'!$E$11+1,1))-AVERAGE(OFFSET($H$3,0,0,'Données projet'!$E$11+1,1))</f>
        <v>284.60021367910457</v>
      </c>
      <c r="BJ9" s="59">
        <f t="shared" si="38"/>
        <v>301.41905904220812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10.8</v>
      </c>
      <c r="BY9" s="12">
        <f>IF('Données projet'!$A$114&gt;35,BY8+BX9-CG8,IF(A9&lt;'Données projet'!$A$114,$BV$205^A9,IF(A9='Données projet'!$A$114,'Données projet'!$B$114,BY8+BX9-CG8)))</f>
        <v>7.6525470037547425</v>
      </c>
      <c r="BZ9" s="13">
        <f>BY9*VLOOKUP('Données projet'!$B$12,Paramètres!$A$1:$I$89,3,0)*VLOOKUP('Données projet'!$B$12,Paramètres!$A$1:$I$89,5,0)</f>
        <v>4.2777737750989013</v>
      </c>
      <c r="CA9" s="13">
        <f t="shared" si="39"/>
        <v>1.6645472402836166</v>
      </c>
      <c r="CB9" s="20">
        <f t="shared" si="10"/>
        <v>10.349542435124553</v>
      </c>
      <c r="CC9" s="59">
        <f t="shared" si="11"/>
        <v>303.68287576845785</v>
      </c>
      <c r="CD9" s="59">
        <f ca="1">AVERAGE(OFFSET($CC$3,0,0,'Données projet'!$E$12+1,1))-AVERAGE(OFFSET($H$3,0,0,'Données projet'!$E$12+1,1))</f>
        <v>490.96084572840579</v>
      </c>
      <c r="CE9" s="59">
        <f t="shared" si="40"/>
        <v>597.91658789908263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8.5833333333333339</v>
      </c>
      <c r="N10" s="13">
        <f>IF('Données projet'!$A$36&gt;35,N9+M10-V9,IF(A10&lt;'Données projet'!$A$36,$K$205^A10,IF(A10='Données projet'!$A$36,'Données projet'!$B$36,N9+M10-V9)))</f>
        <v>14.933274481896314</v>
      </c>
      <c r="O10" s="13">
        <f>N10*VLOOKUP('Données projet'!$B$9,Paramètres!$A$1:$I$89,3,0)*VLOOKUP('Données projet'!$B$9,Paramètres!$A$1:$I$89,5,0)</f>
        <v>9.3183632767033</v>
      </c>
      <c r="P10" s="13">
        <f t="shared" si="33"/>
        <v>3.3117730561532612</v>
      </c>
      <c r="Q10" s="20">
        <f t="shared" si="2"/>
        <v>21.997487446391844</v>
      </c>
      <c r="R10" s="59">
        <f t="shared" si="0"/>
        <v>315.33082077972517</v>
      </c>
      <c r="S10" s="59">
        <f ca="1">AVERAGE(OFFSET($R$3,0,0,'Données projet'!$E$9+1,1))-AVERAGE(OFFSET($H$3,0,0,'Données projet'!$E$9+1,1))</f>
        <v>482.28841373508675</v>
      </c>
      <c r="T10" s="59">
        <f t="shared" si="34"/>
        <v>746.97309214631684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2.7528074408114294</v>
      </c>
      <c r="AK10" s="13">
        <f t="shared" si="35"/>
        <v>1.1275556652411438</v>
      </c>
      <c r="AL10" s="20">
        <f t="shared" si="4"/>
        <v>6.7582990763748976</v>
      </c>
      <c r="AM10" s="59">
        <f t="shared" si="5"/>
        <v>300.09163240970821</v>
      </c>
      <c r="AN10" s="59">
        <f ca="1">AVERAGE(OFFSET($AM$3,0,0,'Données projet'!$E$10+1,1))-AVERAGE(OFFSET($H$3,0,0,'Données projet'!$E$10+1,1))</f>
        <v>259.91478350500478</v>
      </c>
      <c r="AO10" s="59">
        <f t="shared" si="36"/>
        <v>192.27194887051007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6.9411764705882355</v>
      </c>
      <c r="BD10" s="12">
        <f>IF('Données projet'!$A$88&gt;35,BD9+BC10-BL9,IF(A10&lt;'Données projet'!$A$88,$BA$205^A10,IF(A10='Données projet'!$A$88,'Données projet'!$B$88,BD9+BC10-BL9)))</f>
        <v>7.130629726765032</v>
      </c>
      <c r="BE10" s="13">
        <f>BD10*VLOOKUP('Données projet'!$B$11,Paramètres!$A$1:$I$89,3,0)*VLOOKUP('Données projet'!$B$11,Paramètres!$A$1:$I$89,5,0)</f>
        <v>4.26411657660549</v>
      </c>
      <c r="BF10" s="13">
        <f t="shared" si="37"/>
        <v>1.6598507175986843</v>
      </c>
      <c r="BG10" s="20">
        <f t="shared" si="7"/>
        <v>10.317576370738935</v>
      </c>
      <c r="BH10" s="59">
        <f t="shared" si="8"/>
        <v>303.65090970407226</v>
      </c>
      <c r="BI10" s="59">
        <f ca="1">AVERAGE(OFFSET($BH$3,0,0,'Données projet'!$E$11+1,1))-AVERAGE(OFFSET($H$3,0,0,'Données projet'!$E$11+1,1))</f>
        <v>284.60021367910457</v>
      </c>
      <c r="BJ10" s="59">
        <f t="shared" si="38"/>
        <v>301.41905904220812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10.8</v>
      </c>
      <c r="BY10" s="12">
        <f>IF('Données projet'!$A$114&gt;35,BY9+BX10-CG9,IF(A10&lt;'Données projet'!$A$114,$BV$205^A10,IF(A10='Données projet'!$A$114,'Données projet'!$B$114,BY9+BX10-CG9)))</f>
        <v>10.742540675924095</v>
      </c>
      <c r="BZ10" s="13">
        <f>BY10*VLOOKUP('Données projet'!$B$12,Paramètres!$A$1:$I$89,3,0)*VLOOKUP('Données projet'!$B$12,Paramètres!$A$1:$I$89,5,0)</f>
        <v>6.0050802378415691</v>
      </c>
      <c r="CA10" s="13">
        <f t="shared" si="39"/>
        <v>2.2462148263235089</v>
      </c>
      <c r="CB10" s="20">
        <f t="shared" si="10"/>
        <v>14.37100557008751</v>
      </c>
      <c r="CC10" s="59">
        <f t="shared" si="11"/>
        <v>307.70433890342082</v>
      </c>
      <c r="CD10" s="59">
        <f ca="1">AVERAGE(OFFSET($CC$3,0,0,'Données projet'!$E$12+1,1))-AVERAGE(OFFSET($H$3,0,0,'Données projet'!$E$12+1,1))</f>
        <v>490.96084572840579</v>
      </c>
      <c r="CE10" s="59">
        <f t="shared" si="40"/>
        <v>597.91658789908263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8.5833333333333339</v>
      </c>
      <c r="N11" s="13">
        <f>IF('Données projet'!$A$36&gt;35,N10+M11-V10,IF(A11&lt;'Données projet'!$A$36,$K$205^A11,IF(A11='Données projet'!$A$36,'Données projet'!$B$36,N10+M11-V10)))</f>
        <v>21.973107636570681</v>
      </c>
      <c r="O11" s="13">
        <f>N11*VLOOKUP('Données projet'!$B$9,Paramètres!$A$1:$I$89,3,0)*VLOOKUP('Données projet'!$B$9,Paramètres!$A$1:$I$89,5,0)</f>
        <v>13.711219165220106</v>
      </c>
      <c r="P11" s="13">
        <f t="shared" si="33"/>
        <v>4.6587830081577177</v>
      </c>
      <c r="Q11" s="20">
        <f t="shared" si="2"/>
        <v>31.994420451966377</v>
      </c>
      <c r="R11" s="59">
        <f t="shared" si="0"/>
        <v>325.32775378529971</v>
      </c>
      <c r="S11" s="59">
        <f ca="1">AVERAGE(OFFSET($R$3,0,0,'Données projet'!$E$9+1,1))-AVERAGE(OFFSET($H$3,0,0,'Données projet'!$E$9+1,1))</f>
        <v>482.28841373508675</v>
      </c>
      <c r="T11" s="59">
        <f t="shared" si="34"/>
        <v>746.97309214631684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3.5457547050492639</v>
      </c>
      <c r="AK11" s="13">
        <f t="shared" si="35"/>
        <v>1.4101803587787649</v>
      </c>
      <c r="AL11" s="20">
        <f t="shared" si="4"/>
        <v>8.631586902833817</v>
      </c>
      <c r="AM11" s="59">
        <f t="shared" si="5"/>
        <v>301.96492023616713</v>
      </c>
      <c r="AN11" s="59">
        <f ca="1">AVERAGE(OFFSET($AM$3,0,0,'Données projet'!$E$10+1,1))-AVERAGE(OFFSET($H$3,0,0,'Données projet'!$E$10+1,1))</f>
        <v>259.91478350500478</v>
      </c>
      <c r="AO11" s="59">
        <f t="shared" si="36"/>
        <v>192.27194887051007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6.9411764705882355</v>
      </c>
      <c r="BD11" s="12">
        <f>IF('Données projet'!$A$88&gt;35,BD10+BC11-BL10,IF(A11&lt;'Données projet'!$A$88,$BA$205^A11,IF(A11='Données projet'!$A$88,'Données projet'!$B$88,BD10+BC11-BL10)))</f>
        <v>9.4406804447568593</v>
      </c>
      <c r="BE11" s="13">
        <f>BD11*VLOOKUP('Données projet'!$B$11,Paramètres!$A$1:$I$89,3,0)*VLOOKUP('Données projet'!$B$11,Paramètres!$A$1:$I$89,5,0)</f>
        <v>5.6455269059646023</v>
      </c>
      <c r="BF11" s="13">
        <f t="shared" si="37"/>
        <v>2.1269542317454508</v>
      </c>
      <c r="BG11" s="20">
        <f t="shared" si="7"/>
        <v>13.53707131484501</v>
      </c>
      <c r="BH11" s="59">
        <f t="shared" si="8"/>
        <v>306.87040464817835</v>
      </c>
      <c r="BI11" s="59">
        <f ca="1">AVERAGE(OFFSET($BH$3,0,0,'Données projet'!$E$11+1,1))-AVERAGE(OFFSET($H$3,0,0,'Données projet'!$E$11+1,1))</f>
        <v>284.60021367910457</v>
      </c>
      <c r="BJ11" s="59">
        <f t="shared" si="38"/>
        <v>301.41905904220812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10.8</v>
      </c>
      <c r="BY11" s="12">
        <f>IF('Données projet'!$A$114&gt;35,BY10+BX11-CG10,IF(A11&lt;'Données projet'!$A$114,$BV$205^A11,IF(A11='Données projet'!$A$114,'Données projet'!$B$114,BY10+BX11-CG10)))</f>
        <v>15.080231472901943</v>
      </c>
      <c r="BZ11" s="13">
        <f>BY11*VLOOKUP('Données projet'!$B$12,Paramètres!$A$1:$I$89,3,0)*VLOOKUP('Données projet'!$B$12,Paramètres!$A$1:$I$89,5,0)</f>
        <v>8.4298493933521872</v>
      </c>
      <c r="CA11" s="13">
        <f t="shared" si="39"/>
        <v>3.0311431985167756</v>
      </c>
      <c r="CB11" s="20">
        <f t="shared" si="10"/>
        <v>19.961228764171775</v>
      </c>
      <c r="CC11" s="59">
        <f t="shared" si="11"/>
        <v>313.29456209750509</v>
      </c>
      <c r="CD11" s="59">
        <f ca="1">AVERAGE(OFFSET($CC$3,0,0,'Données projet'!$E$12+1,1))-AVERAGE(OFFSET($H$3,0,0,'Données projet'!$E$12+1,1))</f>
        <v>490.96084572840579</v>
      </c>
      <c r="CE11" s="59">
        <f t="shared" si="40"/>
        <v>597.91658789908263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8.5833333333333339</v>
      </c>
      <c r="N12" s="13">
        <f>IF('Données projet'!$A$36&gt;35,N11+M12-V11,IF(A12&lt;'Données projet'!$A$36,$K$205^A12,IF(A12='Données projet'!$A$36,'Données projet'!$B$36,N11+M12-V11)))</f>
        <v>32.331653703522484</v>
      </c>
      <c r="O12" s="13">
        <f>N12*VLOOKUP('Données projet'!$B$9,Paramètres!$A$1:$I$89,3,0)*VLOOKUP('Données projet'!$B$9,Paramètres!$A$1:$I$89,5,0)</f>
        <v>20.174951910998029</v>
      </c>
      <c r="P12" s="13">
        <f t="shared" si="33"/>
        <v>6.55366740084217</v>
      </c>
      <c r="Q12" s="20">
        <f t="shared" si="2"/>
        <v>46.552345301455006</v>
      </c>
      <c r="R12" s="59">
        <f t="shared" si="0"/>
        <v>339.88567863478829</v>
      </c>
      <c r="S12" s="59">
        <f ca="1">AVERAGE(OFFSET($R$3,0,0,'Données projet'!$E$9+1,1))-AVERAGE(OFFSET($H$3,0,0,'Données projet'!$E$9+1,1))</f>
        <v>482.28841373508675</v>
      </c>
      <c r="T12" s="59">
        <f t="shared" si="34"/>
        <v>746.97309214631684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4.5671107401079603</v>
      </c>
      <c r="AK12" s="13">
        <f t="shared" si="35"/>
        <v>1.763645650133036</v>
      </c>
      <c r="AL12" s="20">
        <f t="shared" si="4"/>
        <v>11.026067379669733</v>
      </c>
      <c r="AM12" s="59">
        <f t="shared" si="5"/>
        <v>304.35940071300303</v>
      </c>
      <c r="AN12" s="59">
        <f ca="1">AVERAGE(OFFSET($AM$3,0,0,'Données projet'!$E$10+1,1))-AVERAGE(OFFSET($H$3,0,0,'Données projet'!$E$10+1,1))</f>
        <v>259.91478350500478</v>
      </c>
      <c r="AO12" s="59">
        <f t="shared" si="36"/>
        <v>192.27194887051007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6.9411764705882355</v>
      </c>
      <c r="BD12" s="12">
        <f>IF('Données projet'!$A$88&gt;35,BD11+BC12-BL11,IF(A12&lt;'Données projet'!$A$88,$BA$205^A12,IF(A12='Données projet'!$A$88,'Données projet'!$B$88,BD11+BC12-BL11)))</f>
        <v>12.499099052286473</v>
      </c>
      <c r="BE12" s="13">
        <f>BD12*VLOOKUP('Données projet'!$B$11,Paramètres!$A$1:$I$89,3,0)*VLOOKUP('Données projet'!$B$11,Paramètres!$A$1:$I$89,5,0)</f>
        <v>7.474461233267311</v>
      </c>
      <c r="BF12" s="13">
        <f t="shared" si="37"/>
        <v>2.7255067314033421</v>
      </c>
      <c r="BG12" s="20">
        <f t="shared" si="7"/>
        <v>17.764944205134721</v>
      </c>
      <c r="BH12" s="59">
        <f t="shared" si="8"/>
        <v>311.09827753846804</v>
      </c>
      <c r="BI12" s="59">
        <f ca="1">AVERAGE(OFFSET($BH$3,0,0,'Données projet'!$E$11+1,1))-AVERAGE(OFFSET($H$3,0,0,'Données projet'!$E$11+1,1))</f>
        <v>284.60021367910457</v>
      </c>
      <c r="BJ12" s="59">
        <f t="shared" si="38"/>
        <v>301.41905904220812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10.8</v>
      </c>
      <c r="BY12" s="12">
        <f>IF('Données projet'!$A$114&gt;35,BY11+BX12-CG11,IF(A12&lt;'Données projet'!$A$114,$BV$205^A12,IF(A12='Données projet'!$A$114,'Données projet'!$B$114,BY11+BX12-CG11)))</f>
        <v>21.169422405444113</v>
      </c>
      <c r="BZ12" s="13">
        <f>BY12*VLOOKUP('Données projet'!$B$12,Paramètres!$A$1:$I$89,3,0)*VLOOKUP('Données projet'!$B$12,Paramètres!$A$1:$I$89,5,0)</f>
        <v>11.83370712464326</v>
      </c>
      <c r="CA12" s="13">
        <f t="shared" si="39"/>
        <v>4.0903608070972819</v>
      </c>
      <c r="CB12" s="20">
        <f t="shared" si="10"/>
        <v>27.734418314448106</v>
      </c>
      <c r="CC12" s="59">
        <f t="shared" si="11"/>
        <v>321.06775164778139</v>
      </c>
      <c r="CD12" s="59">
        <f ca="1">AVERAGE(OFFSET($CC$3,0,0,'Données projet'!$E$12+1,1))-AVERAGE(OFFSET($H$3,0,0,'Données projet'!$E$12+1,1))</f>
        <v>490.96084572840579</v>
      </c>
      <c r="CE12" s="59">
        <f t="shared" si="40"/>
        <v>597.91658789908263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8.5833333333333339</v>
      </c>
      <c r="N13" s="13">
        <f>IF('Données projet'!$A$36&gt;35,N12+M13-V12,IF(A13&lt;'Données projet'!$A$36,$K$205^A13,IF(A13='Données projet'!$A$36,'Données projet'!$B$36,N12+M13-V12)))</f>
        <v>47.573417856685268</v>
      </c>
      <c r="O13" s="13">
        <f>N13*VLOOKUP('Données projet'!$B$9,Paramètres!$A$1:$I$89,3,0)*VLOOKUP('Données projet'!$B$9,Paramètres!$A$1:$I$89,5,0)</f>
        <v>29.685812742571606</v>
      </c>
      <c r="P13" s="13">
        <f t="shared" si="33"/>
        <v>9.2192652728519882</v>
      </c>
      <c r="Q13" s="20">
        <f t="shared" si="2"/>
        <v>67.759677543529421</v>
      </c>
      <c r="R13" s="59">
        <f t="shared" si="0"/>
        <v>361.09301087686276</v>
      </c>
      <c r="S13" s="59">
        <f ca="1">AVERAGE(OFFSET($R$3,0,0,'Données projet'!$E$9+1,1))-AVERAGE(OFFSET($H$3,0,0,'Données projet'!$E$9+1,1))</f>
        <v>482.28841373508675</v>
      </c>
      <c r="T13" s="59">
        <f t="shared" si="34"/>
        <v>746.97309214631684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5.8826687821090227</v>
      </c>
      <c r="AK13" s="13">
        <f t="shared" si="35"/>
        <v>2.2057079152108381</v>
      </c>
      <c r="AL13" s="20">
        <f t="shared" si="4"/>
        <v>14.087256081165423</v>
      </c>
      <c r="AM13" s="59">
        <f t="shared" si="5"/>
        <v>307.42058941449875</v>
      </c>
      <c r="AN13" s="59">
        <f ca="1">AVERAGE(OFFSET($AM$3,0,0,'Données projet'!$E$10+1,1))-AVERAGE(OFFSET($H$3,0,0,'Données projet'!$E$10+1,1))</f>
        <v>259.91478350500478</v>
      </c>
      <c r="AO13" s="59">
        <f t="shared" si="36"/>
        <v>192.27194887051007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6.9411764705882355</v>
      </c>
      <c r="BD13" s="12">
        <f>IF('Données projet'!$A$88&gt;35,BD12+BC13-BL12,IF(A13&lt;'Données projet'!$A$88,$BA$205^A13,IF(A13='Données projet'!$A$88,'Données projet'!$B$88,BD12+BC13-BL12)))</f>
        <v>16.548328060996262</v>
      </c>
      <c r="BE13" s="13">
        <f>BD13*VLOOKUP('Données projet'!$B$11,Paramètres!$A$1:$I$89,3,0)*VLOOKUP('Données projet'!$B$11,Paramètres!$A$1:$I$89,5,0)</f>
        <v>9.8959001804757651</v>
      </c>
      <c r="BF13" s="13">
        <f t="shared" si="37"/>
        <v>3.4924996655094662</v>
      </c>
      <c r="BG13" s="20">
        <f t="shared" si="7"/>
        <v>23.318129731757608</v>
      </c>
      <c r="BH13" s="59">
        <f t="shared" si="8"/>
        <v>316.65146306509092</v>
      </c>
      <c r="BI13" s="59">
        <f ca="1">AVERAGE(OFFSET($BH$3,0,0,'Données projet'!$E$11+1,1))-AVERAGE(OFFSET($H$3,0,0,'Données projet'!$E$11+1,1))</f>
        <v>284.60021367910457</v>
      </c>
      <c r="BJ13" s="59">
        <f t="shared" si="38"/>
        <v>301.41905904220812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10.8</v>
      </c>
      <c r="BY13" s="12">
        <f>IF('Données projet'!$A$114&gt;35,BY12+BX13-CG12,IF(A13&lt;'Données projet'!$A$114,$BV$205^A13,IF(A13='Données projet'!$A$114,'Données projet'!$B$114,BY12+BX13-CG12)))</f>
        <v>29.717345240051621</v>
      </c>
      <c r="BZ13" s="13">
        <f>BY13*VLOOKUP('Données projet'!$B$12,Paramètres!$A$1:$I$89,3,0)*VLOOKUP('Données projet'!$B$12,Paramètres!$A$1:$I$89,5,0)</f>
        <v>16.611995989188856</v>
      </c>
      <c r="CA13" s="13">
        <f t="shared" si="39"/>
        <v>5.5197166337850669</v>
      </c>
      <c r="CB13" s="20">
        <f t="shared" si="10"/>
        <v>38.546066151679575</v>
      </c>
      <c r="CC13" s="59">
        <f t="shared" si="11"/>
        <v>331.87939948501287</v>
      </c>
      <c r="CD13" s="59">
        <f ca="1">AVERAGE(OFFSET($CC$3,0,0,'Données projet'!$E$12+1,1))-AVERAGE(OFFSET($H$3,0,0,'Données projet'!$E$12+1,1))</f>
        <v>490.96084572840579</v>
      </c>
      <c r="CE13" s="59">
        <f t="shared" si="40"/>
        <v>597.91658789908263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8.5833333333333339</v>
      </c>
      <c r="N14" s="13">
        <f>IF('Données projet'!$A$36&gt;35,N13+M14-V13,IF(A14&lt;'Données projet'!$A$36,$K$205^A14,IF(A14='Données projet'!$A$36,'Données projet'!$B$36,N13+M14-V13)))</f>
        <v>70.000443136015818</v>
      </c>
      <c r="O14" s="13">
        <f>N14*VLOOKUP('Données projet'!$B$9,Paramètres!$A$1:$I$89,3,0)*VLOOKUP('Données projet'!$B$9,Paramètres!$A$1:$I$89,5,0)</f>
        <v>43.680276516873867</v>
      </c>
      <c r="P14" s="13">
        <f t="shared" si="33"/>
        <v>12.969051825897136</v>
      </c>
      <c r="Q14" s="20">
        <f t="shared" si="2"/>
        <v>98.664246863659471</v>
      </c>
      <c r="R14" s="59">
        <f t="shared" si="0"/>
        <v>391.99758019699277</v>
      </c>
      <c r="S14" s="59">
        <f ca="1">AVERAGE(OFFSET($R$3,0,0,'Données projet'!$E$9+1,1))-AVERAGE(OFFSET($H$3,0,0,'Données projet'!$E$9+1,1))</f>
        <v>482.28841373508675</v>
      </c>
      <c r="T14" s="59">
        <f t="shared" si="34"/>
        <v>746.97309214631684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7.5771738346729904</v>
      </c>
      <c r="AK14" s="13">
        <f t="shared" si="35"/>
        <v>2.7585742106736397</v>
      </c>
      <c r="AL14" s="20">
        <f t="shared" si="4"/>
        <v>18.001427845645381</v>
      </c>
      <c r="AM14" s="59">
        <f t="shared" si="5"/>
        <v>311.33476117897868</v>
      </c>
      <c r="AN14" s="59">
        <f ca="1">AVERAGE(OFFSET($AM$3,0,0,'Données projet'!$E$10+1,1))-AVERAGE(OFFSET($H$3,0,0,'Données projet'!$E$10+1,1))</f>
        <v>259.91478350500478</v>
      </c>
      <c r="AO14" s="59">
        <f t="shared" si="36"/>
        <v>192.27194887051007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6.9411764705882355</v>
      </c>
      <c r="BD14" s="12">
        <f>IF('Données projet'!$A$88&gt;35,BD13+BC14-BL13,IF(A14&lt;'Données projet'!$A$88,$BA$205^A14,IF(A14='Données projet'!$A$88,'Données projet'!$B$88,BD13+BC14-BL13)))</f>
        <v>21.909352063600231</v>
      </c>
      <c r="BE14" s="13">
        <f>BD14*VLOOKUP('Données projet'!$B$11,Paramètres!$A$1:$I$89,3,0)*VLOOKUP('Données projet'!$B$11,Paramètres!$A$1:$I$89,5,0)</f>
        <v>13.101792534032938</v>
      </c>
      <c r="BF14" s="13">
        <f t="shared" si="37"/>
        <v>4.4753343563761101</v>
      </c>
      <c r="BG14" s="20">
        <f t="shared" si="7"/>
        <v>30.613496000795752</v>
      </c>
      <c r="BH14" s="59">
        <f t="shared" si="8"/>
        <v>323.94682933412906</v>
      </c>
      <c r="BI14" s="59">
        <f ca="1">AVERAGE(OFFSET($BH$3,0,0,'Données projet'!$E$11+1,1))-AVERAGE(OFFSET($H$3,0,0,'Données projet'!$E$11+1,1))</f>
        <v>284.60021367910457</v>
      </c>
      <c r="BJ14" s="59">
        <f t="shared" si="38"/>
        <v>301.41905904220812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41.716802244415881</v>
      </c>
      <c r="BZ14" s="13">
        <f>BY14*VLOOKUP('Données projet'!$B$12,Paramètres!$A$1:$I$89,3,0)*VLOOKUP('Données projet'!$B$12,Paramètres!$A$1:$I$89,5,0)</f>
        <v>23.319692454628481</v>
      </c>
      <c r="CA14" s="13">
        <f t="shared" si="39"/>
        <v>7.4485536005574575</v>
      </c>
      <c r="CB14" s="20">
        <f t="shared" si="10"/>
        <v>53.58802854611551</v>
      </c>
      <c r="CC14" s="59">
        <f t="shared" si="11"/>
        <v>346.9213618794488</v>
      </c>
      <c r="CD14" s="59">
        <f ca="1">AVERAGE(OFFSET($CC$3,0,0,'Données projet'!$E$12+1,1))-AVERAGE(OFFSET($H$3,0,0,'Données projet'!$E$12+1,1))</f>
        <v>490.96084572840579</v>
      </c>
      <c r="CE14" s="59">
        <f t="shared" si="40"/>
        <v>597.91658789908263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103</v>
      </c>
      <c r="L15" s="12">
        <f>VLOOKUP(A15,'Données projet'!$A$35:$I$55,9,0)</f>
        <v>8.5833333333333339</v>
      </c>
      <c r="M15" s="12">
        <f t="array" ref="M15">INDEX(L:L,MIN(IF(ISNUMBER(L15:L211),ROW(L15:L211),"")))</f>
        <v>8.5833333333333339</v>
      </c>
      <c r="N15" s="13">
        <f>IF('Données projet'!$A$36&gt;35,N14+M15-V14,IF(A15&lt;'Données projet'!$A$36,$K$205^A15,IF(A15='Données projet'!$A$36,'Données projet'!$B$36,N14+M15-V14)))</f>
        <v>103</v>
      </c>
      <c r="O15" s="13">
        <f>N15*VLOOKUP('Données projet'!$B$9,Paramètres!$A$1:$I$89,3,0)*VLOOKUP('Données projet'!$B$9,Paramètres!$A$1:$I$89,5,0)</f>
        <v>64.272000000000006</v>
      </c>
      <c r="P15" s="13">
        <f t="shared" si="33"/>
        <v>18.244003213368217</v>
      </c>
      <c r="Q15" s="20">
        <f t="shared" si="2"/>
        <v>143.71537226328297</v>
      </c>
      <c r="R15" s="59">
        <f t="shared" si="0"/>
        <v>437.04870559661629</v>
      </c>
      <c r="S15" s="59">
        <f ca="1">AVERAGE(OFFSET($R$3,0,0,'Données projet'!$E$9+1,1))-AVERAGE(OFFSET($H$3,0,0,'Données projet'!$E$9+1,1))</f>
        <v>482.28841373508675</v>
      </c>
      <c r="T15" s="59">
        <f t="shared" si="34"/>
        <v>746.97309214631684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0.33600000000000002</v>
      </c>
      <c r="Y15" s="16">
        <f>IF(ISNA(VLOOKUP(A15,'Données projet'!$A$35:$I$55,7,0)),0%,VLOOKUP(A15,'Données projet'!$A$35:$I$55,7,0))</f>
        <v>0.44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9.7597817329891239</v>
      </c>
      <c r="AK15" s="13">
        <f t="shared" si="35"/>
        <v>3.4500178483814818</v>
      </c>
      <c r="AL15" s="20">
        <f t="shared" si="4"/>
        <v>23.00706760422047</v>
      </c>
      <c r="AM15" s="59">
        <f t="shared" si="5"/>
        <v>316.3404009375538</v>
      </c>
      <c r="AN15" s="59">
        <f ca="1">AVERAGE(OFFSET($AM$3,0,0,'Données projet'!$E$10+1,1))-AVERAGE(OFFSET($H$3,0,0,'Données projet'!$E$10+1,1))</f>
        <v>259.91478350500478</v>
      </c>
      <c r="AO15" s="59">
        <f t="shared" si="36"/>
        <v>192.27194887051007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6.9411764705882355</v>
      </c>
      <c r="BD15" s="12">
        <f>IF('Données projet'!$A$88&gt;35,BD14+BC15-BL14,IF(A15&lt;'Données projet'!$A$88,$BA$205^A15,IF(A15='Données projet'!$A$88,'Données projet'!$B$88,BD14+BC15-BL14)))</f>
        <v>29.007142357672414</v>
      </c>
      <c r="BE15" s="13">
        <f>BD15*VLOOKUP('Données projet'!$B$11,Paramètres!$A$1:$I$89,3,0)*VLOOKUP('Données projet'!$B$11,Paramètres!$A$1:$I$89,5,0)</f>
        <v>17.346271129888105</v>
      </c>
      <c r="BF15" s="13">
        <f t="shared" si="37"/>
        <v>5.7347514730366376</v>
      </c>
      <c r="BG15" s="20">
        <f t="shared" si="7"/>
        <v>40.19944770009392</v>
      </c>
      <c r="BH15" s="59">
        <f t="shared" si="8"/>
        <v>333.53278103342723</v>
      </c>
      <c r="BI15" s="59">
        <f ca="1">AVERAGE(OFFSET($BH$3,0,0,'Données projet'!$E$11+1,1))-AVERAGE(OFFSET($H$3,0,0,'Données projet'!$E$11+1,1))</f>
        <v>284.60021367910457</v>
      </c>
      <c r="BJ15" s="59">
        <f t="shared" si="38"/>
        <v>301.41905904220812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58.561475644675681</v>
      </c>
      <c r="BZ15" s="13">
        <f>BY15*VLOOKUP('Données projet'!$B$12,Paramètres!$A$1:$I$89,3,0)*VLOOKUP('Données projet'!$B$12,Paramètres!$A$1:$I$89,5,0)</f>
        <v>32.735864885373708</v>
      </c>
      <c r="CA15" s="13">
        <f t="shared" si="39"/>
        <v>10.051412857100269</v>
      </c>
      <c r="CB15" s="20">
        <f t="shared" si="10"/>
        <v>74.521175401475503</v>
      </c>
      <c r="CC15" s="59">
        <f t="shared" si="11"/>
        <v>367.8545087348088</v>
      </c>
      <c r="CD15" s="59">
        <f ca="1">AVERAGE(OFFSET($CC$3,0,0,'Données projet'!$E$12+1,1))-AVERAGE(OFFSET($H$3,0,0,'Données projet'!$E$12+1,1))</f>
        <v>490.96084572840579</v>
      </c>
      <c r="CE15" s="59">
        <f t="shared" si="40"/>
        <v>597.91658789908263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26.5</v>
      </c>
      <c r="N16" s="13">
        <f>IF('Données projet'!$A$36&gt;35,N15+M16-V15,IF(A16&lt;'Données projet'!$A$36,$K$205^A16,IF(A16='Données projet'!$A$36,'Données projet'!$B$36,N15+M16-V15)))</f>
        <v>129.5</v>
      </c>
      <c r="O16" s="13">
        <f>N16*VLOOKUP('Données projet'!$B$9,Paramètres!$A$1:$I$89,3,0)*VLOOKUP('Données projet'!$B$9,Paramètres!$A$1:$I$89,5,0)</f>
        <v>80.807999999999993</v>
      </c>
      <c r="P16" s="13">
        <f t="shared" si="33"/>
        <v>22.334628633536209</v>
      </c>
      <c r="Q16" s="20">
        <f t="shared" si="2"/>
        <v>179.64007820340888</v>
      </c>
      <c r="R16" s="59">
        <f t="shared" si="0"/>
        <v>472.97341153674222</v>
      </c>
      <c r="S16" s="59">
        <f ca="1">AVERAGE(OFFSET($R$3,0,0,'Données projet'!$E$9+1,1))-AVERAGE(OFFSET($H$3,0,0,'Données projet'!$E$9+1,1))</f>
        <v>482.28841373508675</v>
      </c>
      <c r="T16" s="59">
        <f t="shared" si="34"/>
        <v>746.97309214631684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12.571090693433858</v>
      </c>
      <c r="AK16" s="13">
        <f t="shared" si="35"/>
        <v>4.3147735914069099</v>
      </c>
      <c r="AL16" s="20">
        <f t="shared" si="4"/>
        <v>29.409546962764335</v>
      </c>
      <c r="AM16" s="59">
        <f t="shared" si="5"/>
        <v>322.74288029609767</v>
      </c>
      <c r="AN16" s="59">
        <f ca="1">AVERAGE(OFFSET($AM$3,0,0,'Données projet'!$E$10+1,1))-AVERAGE(OFFSET($H$3,0,0,'Données projet'!$E$10+1,1))</f>
        <v>259.91478350500478</v>
      </c>
      <c r="AO16" s="59">
        <f t="shared" si="36"/>
        <v>192.27194887051007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6.9411764705882355</v>
      </c>
      <c r="BD16" s="12">
        <f>IF('Données projet'!$A$88&gt;35,BD15+BC16-BL15,IF(A16&lt;'Données projet'!$A$88,$BA$205^A16,IF(A16='Données projet'!$A$88,'Données projet'!$B$88,BD15+BC16-BL15)))</f>
        <v>38.404344652263013</v>
      </c>
      <c r="BE16" s="13">
        <f>BD16*VLOOKUP('Données projet'!$B$11,Paramètres!$A$1:$I$89,3,0)*VLOOKUP('Données projet'!$B$11,Paramètres!$A$1:$I$89,5,0)</f>
        <v>22.965798102053284</v>
      </c>
      <c r="BF16" s="13">
        <f t="shared" si="37"/>
        <v>7.3485848963755025</v>
      </c>
      <c r="BG16" s="20">
        <f t="shared" si="7"/>
        <v>52.797550388930141</v>
      </c>
      <c r="BH16" s="59">
        <f t="shared" si="8"/>
        <v>346.13088372226343</v>
      </c>
      <c r="BI16" s="59">
        <f ca="1">AVERAGE(OFFSET($BH$3,0,0,'Données projet'!$E$11+1,1))-AVERAGE(OFFSET($H$3,0,0,'Données projet'!$E$11+1,1))</f>
        <v>284.60021367910457</v>
      </c>
      <c r="BJ16" s="59">
        <f t="shared" si="38"/>
        <v>301.41905904220812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82.20779746225638</v>
      </c>
      <c r="BZ16" s="13">
        <f>BY16*VLOOKUP('Données projet'!$B$12,Paramètres!$A$1:$I$89,3,0)*VLOOKUP('Données projet'!$B$12,Paramètres!$A$1:$I$89,5,0)</f>
        <v>45.954158781401318</v>
      </c>
      <c r="CA16" s="13">
        <f t="shared" si="39"/>
        <v>13.563828072113143</v>
      </c>
      <c r="CB16" s="20">
        <f t="shared" si="10"/>
        <v>103.66049376987102</v>
      </c>
      <c r="CC16" s="59">
        <f t="shared" si="11"/>
        <v>396.99382710320435</v>
      </c>
      <c r="CD16" s="59">
        <f ca="1">AVERAGE(OFFSET($CC$3,0,0,'Données projet'!$E$12+1,1))-AVERAGE(OFFSET($H$3,0,0,'Données projet'!$E$12+1,1))</f>
        <v>490.96084572840579</v>
      </c>
      <c r="CE16" s="59">
        <f t="shared" si="40"/>
        <v>597.91658789908263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26.5</v>
      </c>
      <c r="N17" s="13">
        <f>IF('Données projet'!$A$36&gt;35,N16+M17-V16,IF(A17&lt;'Données projet'!$A$36,$K$205^A17,IF(A17='Données projet'!$A$36,'Données projet'!$B$36,N16+M17-V16)))</f>
        <v>156</v>
      </c>
      <c r="O17" s="13">
        <f>N17*VLOOKUP('Données projet'!$B$9,Paramètres!$A$1:$I$89,3,0)*VLOOKUP('Données projet'!$B$9,Paramètres!$A$1:$I$89,5,0)</f>
        <v>97.343999999999994</v>
      </c>
      <c r="P17" s="13">
        <f t="shared" si="33"/>
        <v>26.328254259866451</v>
      </c>
      <c r="Q17" s="20">
        <f t="shared" si="2"/>
        <v>215.39584283593408</v>
      </c>
      <c r="R17" s="59">
        <f t="shared" si="0"/>
        <v>508.72917616926736</v>
      </c>
      <c r="S17" s="59">
        <f ca="1">AVERAGE(OFFSET($R$3,0,0,'Données projet'!$E$9+1,1))-AVERAGE(OFFSET($H$3,0,0,'Données projet'!$E$9+1,1))</f>
        <v>482.28841373508675</v>
      </c>
      <c r="T17" s="59">
        <f t="shared" si="34"/>
        <v>746.97309214631684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16.192198303817896</v>
      </c>
      <c r="AK17" s="13">
        <f t="shared" si="35"/>
        <v>5.3962825594761723</v>
      </c>
      <c r="AL17" s="20">
        <f t="shared" si="4"/>
        <v>37.599937503570509</v>
      </c>
      <c r="AM17" s="59">
        <f t="shared" si="5"/>
        <v>330.93327083690383</v>
      </c>
      <c r="AN17" s="59">
        <f ca="1">AVERAGE(OFFSET($AM$3,0,0,'Données projet'!$E$10+1,1))-AVERAGE(OFFSET($H$3,0,0,'Données projet'!$E$10+1,1))</f>
        <v>259.91478350500478</v>
      </c>
      <c r="AO17" s="59">
        <f t="shared" si="36"/>
        <v>192.27194887051007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6.9411764705882355</v>
      </c>
      <c r="BD17" s="12">
        <f>IF('Données projet'!$A$88&gt;35,BD16+BC17-BL16,IF(A17&lt;'Données projet'!$A$88,$BA$205^A17,IF(A17='Données projet'!$A$88,'Données projet'!$B$88,BD16+BC17-BL16)))</f>
        <v>50.845880300225161</v>
      </c>
      <c r="BE17" s="13">
        <f>BD17*VLOOKUP('Données projet'!$B$11,Paramètres!$A$1:$I$89,3,0)*VLOOKUP('Données projet'!$B$11,Paramètres!$A$1:$I$89,5,0)</f>
        <v>30.405836419534648</v>
      </c>
      <c r="BF17" s="13">
        <f t="shared" si="37"/>
        <v>9.4165719705798292</v>
      </c>
      <c r="BG17" s="20">
        <f t="shared" si="7"/>
        <v>69.357361279449364</v>
      </c>
      <c r="BH17" s="59">
        <f t="shared" si="8"/>
        <v>362.69069461278269</v>
      </c>
      <c r="BI17" s="59">
        <f ca="1">AVERAGE(OFFSET($BH$3,0,0,'Données projet'!$E$11+1,1))-AVERAGE(OFFSET($H$3,0,0,'Données projet'!$E$11+1,1))</f>
        <v>284.60021367910457</v>
      </c>
      <c r="BJ17" s="59">
        <f t="shared" si="38"/>
        <v>301.41905904220812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115.40218017388374</v>
      </c>
      <c r="BZ17" s="13">
        <f>BY17*VLOOKUP('Données projet'!$B$12,Paramètres!$A$1:$I$89,3,0)*VLOOKUP('Données projet'!$B$12,Paramètres!$A$1:$I$89,5,0)</f>
        <v>64.509818717201014</v>
      </c>
      <c r="CA17" s="13">
        <f t="shared" si="39"/>
        <v>18.303638959560171</v>
      </c>
      <c r="CB17" s="20">
        <f t="shared" si="10"/>
        <v>144.23343878702573</v>
      </c>
      <c r="CC17" s="59">
        <f t="shared" si="11"/>
        <v>437.56677212035902</v>
      </c>
      <c r="CD17" s="59">
        <f ca="1">AVERAGE(OFFSET($CC$3,0,0,'Données projet'!$E$12+1,1))-AVERAGE(OFFSET($H$3,0,0,'Données projet'!$E$12+1,1))</f>
        <v>490.96084572840579</v>
      </c>
      <c r="CE17" s="59">
        <f t="shared" si="40"/>
        <v>597.91658789908263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26.5</v>
      </c>
      <c r="N18" s="13">
        <f>IF('Données projet'!$A$36&gt;35,N17+M18-V17,IF(A18&lt;'Données projet'!$A$36,$K$205^A18,IF(A18='Données projet'!$A$36,'Données projet'!$B$36,N17+M18-V17)))</f>
        <v>182.5</v>
      </c>
      <c r="O18" s="13">
        <f>N18*VLOOKUP('Données projet'!$B$9,Paramètres!$A$1:$I$89,3,0)*VLOOKUP('Données projet'!$B$9,Paramètres!$A$1:$I$89,5,0)</f>
        <v>113.88</v>
      </c>
      <c r="P18" s="13">
        <f t="shared" si="33"/>
        <v>30.243290368229957</v>
      </c>
      <c r="Q18" s="20">
        <f t="shared" si="2"/>
        <v>251.01473072466717</v>
      </c>
      <c r="R18" s="59">
        <f t="shared" si="0"/>
        <v>544.34806405800055</v>
      </c>
      <c r="S18" s="59">
        <f ca="1">AVERAGE(OFFSET($R$3,0,0,'Données projet'!$E$9+1,1))-AVERAGE(OFFSET($H$3,0,0,'Données projet'!$E$9+1,1))</f>
        <v>482.28841373508675</v>
      </c>
      <c r="T18" s="59">
        <f t="shared" si="34"/>
        <v>746.97309214631684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20.856367383230236</v>
      </c>
      <c r="AK18" s="13">
        <f t="shared" si="35"/>
        <v>6.7488744993944465</v>
      </c>
      <c r="AL18" s="20">
        <f t="shared" si="4"/>
        <v>48.079129612237985</v>
      </c>
      <c r="AM18" s="59">
        <f t="shared" si="5"/>
        <v>341.41246294557129</v>
      </c>
      <c r="AN18" s="59">
        <f ca="1">AVERAGE(OFFSET($AM$3,0,0,'Données projet'!$E$10+1,1))-AVERAGE(OFFSET($H$3,0,0,'Données projet'!$E$10+1,1))</f>
        <v>259.91478350500478</v>
      </c>
      <c r="AO18" s="59">
        <f t="shared" si="36"/>
        <v>192.27194887051007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6.9411764705882355</v>
      </c>
      <c r="BD18" s="12">
        <f>IF('Données projet'!$A$88&gt;35,BD17+BC18-BL17,IF(A18&lt;'Données projet'!$A$88,$BA$205^A18,IF(A18='Données projet'!$A$88,'Données projet'!$B$88,BD17+BC18-BL17)))</f>
        <v>67.317996620272581</v>
      </c>
      <c r="BE18" s="13">
        <f>BD18*VLOOKUP('Données projet'!$B$11,Paramètres!$A$1:$I$89,3,0)*VLOOKUP('Données projet'!$B$11,Paramètres!$A$1:$I$89,5,0)</f>
        <v>40.256161978923011</v>
      </c>
      <c r="BF18" s="13">
        <f t="shared" si="37"/>
        <v>12.066517421720839</v>
      </c>
      <c r="BG18" s="20">
        <f t="shared" si="7"/>
        <v>91.128666622788032</v>
      </c>
      <c r="BH18" s="59">
        <f t="shared" si="8"/>
        <v>384.46199995612136</v>
      </c>
      <c r="BI18" s="59">
        <f ca="1">AVERAGE(OFFSET($BH$3,0,0,'Données projet'!$E$11+1,1))-AVERAGE(OFFSET($H$3,0,0,'Données projet'!$E$11+1,1))</f>
        <v>284.60021367910457</v>
      </c>
      <c r="BJ18" s="59">
        <f t="shared" si="38"/>
        <v>301.41905904220812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162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162</v>
      </c>
      <c r="BZ18" s="13">
        <f>BY18*VLOOKUP('Données projet'!$B$12,Paramètres!$A$1:$I$89,3,0)*VLOOKUP('Données projet'!$B$12,Paramètres!$A$1:$I$89,5,0)</f>
        <v>90.557999999999993</v>
      </c>
      <c r="CA18" s="13">
        <f t="shared" si="39"/>
        <v>24.699752708509138</v>
      </c>
      <c r="CB18" s="20">
        <f t="shared" si="10"/>
        <v>200.74058596732007</v>
      </c>
      <c r="CC18" s="59">
        <f t="shared" si="11"/>
        <v>494.07391930065342</v>
      </c>
      <c r="CD18" s="59">
        <f ca="1">AVERAGE(OFFSET($CC$3,0,0,'Données projet'!$E$12+1,1))-AVERAGE(OFFSET($H$3,0,0,'Données projet'!$E$12+1,1))</f>
        <v>490.96084572840579</v>
      </c>
      <c r="CE18" s="59">
        <f t="shared" si="40"/>
        <v>597.91658789908263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0.30800000000000005</v>
      </c>
      <c r="CJ18" s="16">
        <f>IF(ISNA(VLOOKUP(A18,'Données projet'!$A$113:$I$133,7,0)),0%,VLOOKUP(A18,'Données projet'!$A$113:$I$133,7,0))</f>
        <v>0.44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26.5</v>
      </c>
      <c r="N19" s="13">
        <f>IF('Données projet'!$A$36&gt;35,N18+M19-V18,IF(A19&lt;'Données projet'!$A$36,$K$205^A19,IF(A19='Données projet'!$A$36,'Données projet'!$B$36,N18+M19-V18)))</f>
        <v>209</v>
      </c>
      <c r="O19" s="13">
        <f>N19*VLOOKUP('Données projet'!$B$9,Paramètres!$A$1:$I$89,3,0)*VLOOKUP('Données projet'!$B$9,Paramètres!$A$1:$I$89,5,0)</f>
        <v>130.416</v>
      </c>
      <c r="P19" s="13">
        <f t="shared" si="33"/>
        <v>34.092466837179941</v>
      </c>
      <c r="Q19" s="20">
        <f t="shared" si="2"/>
        <v>286.51891307475506</v>
      </c>
      <c r="R19" s="59">
        <f t="shared" si="0"/>
        <v>579.85224640808838</v>
      </c>
      <c r="S19" s="59">
        <f ca="1">AVERAGE(OFFSET($R$3,0,0,'Données projet'!$E$9+1,1))-AVERAGE(OFFSET($H$3,0,0,'Données projet'!$E$9+1,1))</f>
        <v>482.28841373508675</v>
      </c>
      <c r="T19" s="59">
        <f t="shared" si="34"/>
        <v>746.97309214631684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26.864052197391008</v>
      </c>
      <c r="AK19" s="13">
        <f t="shared" si="35"/>
        <v>8.4404970471001413</v>
      </c>
      <c r="AL19" s="20">
        <f t="shared" si="4"/>
        <v>61.488756600822086</v>
      </c>
      <c r="AM19" s="59">
        <f t="shared" si="5"/>
        <v>354.82208993415543</v>
      </c>
      <c r="AN19" s="59">
        <f ca="1">AVERAGE(OFFSET($AM$3,0,0,'Données projet'!$E$10+1,1))-AVERAGE(OFFSET($H$3,0,0,'Données projet'!$E$10+1,1))</f>
        <v>259.91478350500478</v>
      </c>
      <c r="AO19" s="59">
        <f t="shared" si="36"/>
        <v>192.27194887051007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6.9411764705882355</v>
      </c>
      <c r="BD19" s="12">
        <f>IF('Données projet'!$A$88&gt;35,BD18+BC19-BL18,IF(A19&lt;'Données projet'!$A$88,$BA$205^A19,IF(A19='Données projet'!$A$88,'Données projet'!$B$88,BD18+BC19-BL18)))</f>
        <v>89.126447260014572</v>
      </c>
      <c r="BE19" s="13">
        <f>BD19*VLOOKUP('Données projet'!$B$11,Paramètres!$A$1:$I$89,3,0)*VLOOKUP('Données projet'!$B$11,Paramètres!$A$1:$I$89,5,0)</f>
        <v>53.297615461488718</v>
      </c>
      <c r="BF19" s="13">
        <f t="shared" si="37"/>
        <v>15.46219188294774</v>
      </c>
      <c r="BG19" s="20">
        <f t="shared" si="7"/>
        <v>119.75666445822681</v>
      </c>
      <c r="BH19" s="59">
        <f t="shared" si="8"/>
        <v>413.08999779156011</v>
      </c>
      <c r="BI19" s="59">
        <f ca="1">AVERAGE(OFFSET($BH$3,0,0,'Données projet'!$E$11+1,1))-AVERAGE(OFFSET($H$3,0,0,'Données projet'!$E$11+1,1))</f>
        <v>284.60021367910457</v>
      </c>
      <c r="BJ19" s="59">
        <f t="shared" si="38"/>
        <v>301.41905904220812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28.2</v>
      </c>
      <c r="BY19" s="12">
        <f>IF('Données projet'!$A$114&gt;35,BY18+BX19-CG18,IF(A19&lt;'Données projet'!$A$114,$BV$205^A19,IF(A19='Données projet'!$A$114,'Données projet'!$B$114,BY18+BX19-CG18)))</f>
        <v>190.2</v>
      </c>
      <c r="BZ19" s="13">
        <f>BY19*VLOOKUP('Données projet'!$B$12,Paramètres!$A$1:$I$89,3,0)*VLOOKUP('Données projet'!$B$12,Paramètres!$A$1:$I$89,5,0)</f>
        <v>106.32179999999998</v>
      </c>
      <c r="CA19" s="13">
        <f t="shared" si="39"/>
        <v>28.462664081653866</v>
      </c>
      <c r="CB19" s="20">
        <f t="shared" si="10"/>
        <v>234.7496082755471</v>
      </c>
      <c r="CC19" s="59">
        <f t="shared" si="11"/>
        <v>528.08294160888045</v>
      </c>
      <c r="CD19" s="59">
        <f ca="1">AVERAGE(OFFSET($CC$3,0,0,'Données projet'!$E$12+1,1))-AVERAGE(OFFSET($H$3,0,0,'Données projet'!$E$12+1,1))</f>
        <v>490.96084572840579</v>
      </c>
      <c r="CE19" s="59">
        <f t="shared" si="40"/>
        <v>597.91658789908263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26.5</v>
      </c>
      <c r="N20" s="13">
        <f>IF('Données projet'!$A$36&gt;35,N19+M20-V19,IF(A20&lt;'Données projet'!$A$36,$K$205^A20,IF(A20='Données projet'!$A$36,'Données projet'!$B$36,N19+M20-V19)))</f>
        <v>235.5</v>
      </c>
      <c r="O20" s="13">
        <f>N20*VLOOKUP('Données projet'!$B$9,Paramètres!$A$1:$I$89,3,0)*VLOOKUP('Données projet'!$B$9,Paramètres!$A$1:$I$89,5,0)</f>
        <v>146.952</v>
      </c>
      <c r="P20" s="13">
        <f t="shared" si="33"/>
        <v>37.885091254823713</v>
      </c>
      <c r="Q20" s="20">
        <f t="shared" si="2"/>
        <v>321.92460060215132</v>
      </c>
      <c r="R20" s="59">
        <f t="shared" si="0"/>
        <v>615.25793393548463</v>
      </c>
      <c r="S20" s="59">
        <f ca="1">AVERAGE(OFFSET($R$3,0,0,'Données projet'!$E$9+1,1))-AVERAGE(OFFSET($H$3,0,0,'Données projet'!$E$9+1,1))</f>
        <v>482.28841373508675</v>
      </c>
      <c r="T20" s="59">
        <f t="shared" si="34"/>
        <v>746.97309214631684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34.602252981236802</v>
      </c>
      <c r="AK20" s="13">
        <f t="shared" si="35"/>
        <v>10.556129086190376</v>
      </c>
      <c r="AL20" s="20">
        <f t="shared" si="4"/>
        <v>78.650848767435647</v>
      </c>
      <c r="AM20" s="59">
        <f t="shared" si="5"/>
        <v>371.98418210076898</v>
      </c>
      <c r="AN20" s="59">
        <f ca="1">AVERAGE(OFFSET($AM$3,0,0,'Données projet'!$E$10+1,1))-AVERAGE(OFFSET($H$3,0,0,'Données projet'!$E$10+1,1))</f>
        <v>259.91478350500478</v>
      </c>
      <c r="AO20" s="59">
        <f t="shared" si="36"/>
        <v>192.27194887051007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>
        <f>VLOOKUP(A20,'Données projet'!$A$87:$I$107,2,0)</f>
        <v>118</v>
      </c>
      <c r="BB20" s="12">
        <f>VLOOKUP(A20,'Données projet'!$A$87:$I$107,9,0)</f>
        <v>6.9411764705882355</v>
      </c>
      <c r="BC20" s="12">
        <f t="array" ref="BC20">INDEX(BB:BB,MIN(IF(ISNUMBER(BB20:BB216),ROW(BB20:BB216),"")))</f>
        <v>6.9411764705882355</v>
      </c>
      <c r="BD20" s="12">
        <f>IF('Données projet'!$A$88&gt;35,BD19+BC20-BL19,IF(A20&lt;'Données projet'!$A$88,$BA$205^A20,IF(A20='Données projet'!$A$88,'Données projet'!$B$88,BD19+BC20-BL19)))</f>
        <v>118</v>
      </c>
      <c r="BE20" s="13">
        <f>BD20*VLOOKUP('Données projet'!$B$11,Paramètres!$A$1:$I$89,3,0)*VLOOKUP('Données projet'!$B$11,Paramètres!$A$1:$I$89,5,0)</f>
        <v>70.564000000000007</v>
      </c>
      <c r="BF20" s="13">
        <f t="shared" si="37"/>
        <v>19.813453167086163</v>
      </c>
      <c r="BG20" s="20">
        <f t="shared" si="7"/>
        <v>157.40739759934175</v>
      </c>
      <c r="BH20" s="59">
        <f t="shared" si="8"/>
        <v>450.74073093267509</v>
      </c>
      <c r="BI20" s="59">
        <f ca="1">AVERAGE(OFFSET($BH$3,0,0,'Données projet'!$E$11+1,1))-AVERAGE(OFFSET($H$3,0,0,'Données projet'!$E$11+1,1))</f>
        <v>284.60021367910457</v>
      </c>
      <c r="BJ20" s="59">
        <f t="shared" si="38"/>
        <v>301.41905904220812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15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0.25200000000000006</v>
      </c>
      <c r="BO20" s="16">
        <f>IF(ISNA(VLOOKUP(A20,'Données projet'!$A$87:$I$107,7,0)),0%,VLOOKUP(A20,'Données projet'!$A$87:$I$107,7,0))</f>
        <v>0.44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2.9868126506791217</v>
      </c>
      <c r="BR20" s="21">
        <f>EXP(-LN(2)/2)*BR19+(1-EXP(-LN(2)/2))/(LN(2)/2)*BL20*BO20*VLOOKUP('Données projet'!$B$11,Paramètres!$A$1:$I$89,3,0)*0.475*44/12</f>
        <v>4.4686944318774549</v>
      </c>
      <c r="BS20" s="22">
        <f t="shared" si="9"/>
        <v>7.4555070825565766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28.2</v>
      </c>
      <c r="BY20" s="12">
        <f>IF('Données projet'!$A$114&gt;35,BY19+BX20-CG19,IF(A20&lt;'Données projet'!$A$114,$BV$205^A20,IF(A20='Données projet'!$A$114,'Données projet'!$B$114,BY19+BX20-CG19)))</f>
        <v>218.39999999999998</v>
      </c>
      <c r="BZ20" s="13">
        <f>BY20*VLOOKUP('Données projet'!$B$12,Paramètres!$A$1:$I$89,3,0)*VLOOKUP('Données projet'!$B$12,Paramètres!$A$1:$I$89,5,0)</f>
        <v>122.0856</v>
      </c>
      <c r="CA20" s="13">
        <f t="shared" si="39"/>
        <v>32.160942364346717</v>
      </c>
      <c r="CB20" s="20">
        <f t="shared" si="10"/>
        <v>268.64606128457052</v>
      </c>
      <c r="CC20" s="59">
        <f t="shared" si="11"/>
        <v>561.97939461790384</v>
      </c>
      <c r="CD20" s="59">
        <f ca="1">AVERAGE(OFFSET($CC$3,0,0,'Données projet'!$E$12+1,1))-AVERAGE(OFFSET($H$3,0,0,'Données projet'!$E$12+1,1))</f>
        <v>490.96084572840579</v>
      </c>
      <c r="CE20" s="59">
        <f t="shared" si="40"/>
        <v>597.91658789908263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262</v>
      </c>
      <c r="L21" s="12">
        <f>VLOOKUP(A21,'Données projet'!$A$35:$I$55,9,0)</f>
        <v>26.5</v>
      </c>
      <c r="M21" s="12">
        <f t="array" ref="M21">INDEX(L:L,MIN(IF(ISNUMBER(L21:L217),ROW(L21:L217),"")))</f>
        <v>26.5</v>
      </c>
      <c r="N21" s="13">
        <f>IF('Données projet'!$A$36&gt;35,N20+M21-V20,IF(A21&lt;'Données projet'!$A$36,$K$205^A21,IF(A21='Données projet'!$A$36,'Données projet'!$B$36,N20+M21-V20)))</f>
        <v>262</v>
      </c>
      <c r="O21" s="13">
        <f>N21*VLOOKUP('Données projet'!$B$9,Paramètres!$A$1:$I$89,3,0)*VLOOKUP('Données projet'!$B$9,Paramètres!$A$1:$I$89,5,0)</f>
        <v>163.488</v>
      </c>
      <c r="P21" s="13">
        <f t="shared" si="33"/>
        <v>41.628253379180151</v>
      </c>
      <c r="Q21" s="20">
        <f t="shared" si="2"/>
        <v>357.24414130207202</v>
      </c>
      <c r="R21" s="59">
        <f t="shared" si="0"/>
        <v>650.57747463540534</v>
      </c>
      <c r="S21" s="59">
        <f ca="1">AVERAGE(OFFSET($R$3,0,0,'Données projet'!$E$9+1,1))-AVERAGE(OFFSET($H$3,0,0,'Données projet'!$E$9+1,1))</f>
        <v>482.28841373508675</v>
      </c>
      <c r="T21" s="59">
        <f t="shared" si="34"/>
        <v>746.97309214631684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0.33600000000000002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44.569445539336513</v>
      </c>
      <c r="AK21" s="13">
        <f t="shared" si="35"/>
        <v>13.202049673437019</v>
      </c>
      <c r="AL21" s="20">
        <f t="shared" si="4"/>
        <v>100.61868749558056</v>
      </c>
      <c r="AM21" s="59">
        <f t="shared" si="5"/>
        <v>393.95202082891387</v>
      </c>
      <c r="AN21" s="59">
        <f ca="1">AVERAGE(OFFSET($AM$3,0,0,'Données projet'!$E$10+1,1))-AVERAGE(OFFSET($H$3,0,0,'Données projet'!$E$10+1,1))</f>
        <v>259.91478350500478</v>
      </c>
      <c r="AO21" s="59">
        <f t="shared" si="36"/>
        <v>192.27194887051007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11.333333333333334</v>
      </c>
      <c r="BD21" s="12">
        <f>IF('Données projet'!$A$88&gt;35,BD20+BC21-BL20,IF(A21&lt;'Données projet'!$A$88,$BA$205^A21,IF(A21='Données projet'!$A$88,'Données projet'!$B$88,BD20+BC21-BL20)))</f>
        <v>114.33333333333334</v>
      </c>
      <c r="BE21" s="13">
        <f>BD21*VLOOKUP('Données projet'!$B$11,Paramètres!$A$1:$I$89,3,0)*VLOOKUP('Données projet'!$B$11,Paramètres!$A$1:$I$89,5,0)</f>
        <v>68.37133333333334</v>
      </c>
      <c r="BF21" s="13">
        <f t="shared" si="37"/>
        <v>19.268449754335993</v>
      </c>
      <c r="BG21" s="20">
        <f t="shared" si="7"/>
        <v>152.63928887769075</v>
      </c>
      <c r="BH21" s="59">
        <f t="shared" si="8"/>
        <v>445.97262221102403</v>
      </c>
      <c r="BI21" s="59">
        <f ca="1">AVERAGE(OFFSET($BH$3,0,0,'Données projet'!$E$11+1,1))-AVERAGE(OFFSET($H$3,0,0,'Données projet'!$E$11+1,1))</f>
        <v>284.60021367910457</v>
      </c>
      <c r="BJ21" s="59">
        <f t="shared" si="38"/>
        <v>301.41905904220812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2.9051381016766502</v>
      </c>
      <c r="BR21" s="21">
        <f>EXP(-LN(2)/2)*BR20+(1-EXP(-LN(2)/2))/(LN(2)/2)*BL21*BO21*VLOOKUP('Données projet'!$B$11,Paramètres!$A$1:$I$89,3,0)*0.475*44/12</f>
        <v>3.1598441358311149</v>
      </c>
      <c r="BS21" s="22">
        <f t="shared" si="9"/>
        <v>6.0649822375077651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28.2</v>
      </c>
      <c r="BY21" s="12">
        <f>IF('Données projet'!$A$114&gt;35,BY20+BX21-CG20,IF(A21&lt;'Données projet'!$A$114,$BV$205^A21,IF(A21='Données projet'!$A$114,'Données projet'!$B$114,BY20+BX21-CG20)))</f>
        <v>246.59999999999997</v>
      </c>
      <c r="BZ21" s="13">
        <f>BY21*VLOOKUP('Données projet'!$B$12,Paramètres!$A$1:$I$89,3,0)*VLOOKUP('Données projet'!$B$12,Paramètres!$A$1:$I$89,5,0)</f>
        <v>137.84939999999997</v>
      </c>
      <c r="CA21" s="13">
        <f t="shared" si="39"/>
        <v>35.803890229822542</v>
      </c>
      <c r="CB21" s="20">
        <f t="shared" si="10"/>
        <v>302.44614715027416</v>
      </c>
      <c r="CC21" s="59">
        <f t="shared" si="11"/>
        <v>595.77948048360747</v>
      </c>
      <c r="CD21" s="59">
        <f ca="1">AVERAGE(OFFSET($CC$3,0,0,'Données projet'!$E$12+1,1))-AVERAGE(OFFSET($H$3,0,0,'Données projet'!$E$12+1,1))</f>
        <v>490.96084572840579</v>
      </c>
      <c r="CE21" s="59">
        <f t="shared" si="40"/>
        <v>597.91658789908263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26.833333333333332</v>
      </c>
      <c r="N22" s="13">
        <f>IF('Données projet'!$A$36&gt;35,N21+M22-V21,IF(A22&lt;'Données projet'!$A$36,$K$205^A22,IF(A22='Données projet'!$A$36,'Données projet'!$B$36,N21+M22-V21)))</f>
        <v>288.83333333333331</v>
      </c>
      <c r="O22" s="13">
        <f>N22*VLOOKUP('Données projet'!$B$9,Paramètres!$A$1:$I$89,3,0)*VLOOKUP('Données projet'!$B$9,Paramètres!$A$1:$I$89,5,0)</f>
        <v>180.232</v>
      </c>
      <c r="P22" s="13">
        <f t="shared" si="33"/>
        <v>45.373798022205818</v>
      </c>
      <c r="Q22" s="20">
        <f t="shared" si="2"/>
        <v>392.93009822200844</v>
      </c>
      <c r="R22" s="59">
        <f t="shared" si="0"/>
        <v>686.26343155534175</v>
      </c>
      <c r="S22" s="59">
        <f ca="1">AVERAGE(OFFSET($R$3,0,0,'Données projet'!$E$9+1,1))-AVERAGE(OFFSET($H$3,0,0,'Données projet'!$E$9+1,1))</f>
        <v>482.28841373508675</v>
      </c>
      <c r="T22" s="59">
        <f t="shared" si="34"/>
        <v>746.97309214631684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57.407691827495569</v>
      </c>
      <c r="AK22" s="13">
        <f t="shared" si="35"/>
        <v>16.511176981334152</v>
      </c>
      <c r="AL22" s="20">
        <f t="shared" si="4"/>
        <v>128.7420298420451</v>
      </c>
      <c r="AM22" s="59">
        <f t="shared" si="5"/>
        <v>422.07536317537841</v>
      </c>
      <c r="AN22" s="59">
        <f ca="1">AVERAGE(OFFSET($AM$3,0,0,'Données projet'!$E$10+1,1))-AVERAGE(OFFSET($H$3,0,0,'Données projet'!$E$10+1,1))</f>
        <v>259.91478350500478</v>
      </c>
      <c r="AO22" s="59">
        <f t="shared" si="36"/>
        <v>192.27194887051007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11.333333333333334</v>
      </c>
      <c r="BD22" s="12">
        <f>IF('Données projet'!$A$88&gt;35,BD21+BC22-BL21,IF(A22&lt;'Données projet'!$A$88,$BA$205^A22,IF(A22='Données projet'!$A$88,'Données projet'!$B$88,BD21+BC22-BL21)))</f>
        <v>125.66666666666667</v>
      </c>
      <c r="BE22" s="13">
        <f>BD22*VLOOKUP('Données projet'!$B$11,Paramètres!$A$1:$I$89,3,0)*VLOOKUP('Données projet'!$B$11,Paramètres!$A$1:$I$89,5,0)</f>
        <v>75.148666666666671</v>
      </c>
      <c r="BF22" s="13">
        <f t="shared" si="37"/>
        <v>20.946723857947624</v>
      </c>
      <c r="BG22" s="20">
        <f t="shared" si="7"/>
        <v>167.36613849703656</v>
      </c>
      <c r="BH22" s="59">
        <f t="shared" si="8"/>
        <v>460.69947183036987</v>
      </c>
      <c r="BI22" s="59">
        <f ca="1">AVERAGE(OFFSET($BH$3,0,0,'Données projet'!$E$11+1,1))-AVERAGE(OFFSET($H$3,0,0,'Données projet'!$E$11+1,1))</f>
        <v>284.60021367910457</v>
      </c>
      <c r="BJ22" s="59">
        <f t="shared" si="38"/>
        <v>301.41905904220812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2.8256969475117293</v>
      </c>
      <c r="BR22" s="21">
        <f>EXP(-LN(2)/2)*BR21+(1-EXP(-LN(2)/2))/(LN(2)/2)*BL22*BO22*VLOOKUP('Données projet'!$B$11,Paramètres!$A$1:$I$89,3,0)*0.475*44/12</f>
        <v>2.2343472159387279</v>
      </c>
      <c r="BS22" s="22">
        <f t="shared" si="9"/>
        <v>5.0600441634504572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28.2</v>
      </c>
      <c r="BY22" s="12">
        <f>IF('Données projet'!$A$114&gt;35,BY21+BX22-CG21,IF(A22&lt;'Données projet'!$A$114,$BV$205^A22,IF(A22='Données projet'!$A$114,'Données projet'!$B$114,BY21+BX22-CG21)))</f>
        <v>274.79999999999995</v>
      </c>
      <c r="BZ22" s="13">
        <f>BY22*VLOOKUP('Données projet'!$B$12,Paramètres!$A$1:$I$89,3,0)*VLOOKUP('Données projet'!$B$12,Paramètres!$A$1:$I$89,5,0)</f>
        <v>153.61319999999998</v>
      </c>
      <c r="CA22" s="13">
        <f t="shared" si="39"/>
        <v>39.398557339898318</v>
      </c>
      <c r="CB22" s="20">
        <f t="shared" si="10"/>
        <v>336.16214403365615</v>
      </c>
      <c r="CC22" s="59">
        <f t="shared" si="11"/>
        <v>629.49547736698946</v>
      </c>
      <c r="CD22" s="59">
        <f ca="1">AVERAGE(OFFSET($CC$3,0,0,'Données projet'!$E$12+1,1))-AVERAGE(OFFSET($H$3,0,0,'Données projet'!$E$12+1,1))</f>
        <v>490.96084572840579</v>
      </c>
      <c r="CE22" s="59">
        <f t="shared" si="40"/>
        <v>597.91658789908263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26.833333333333332</v>
      </c>
      <c r="N23" s="13">
        <f>IF('Données projet'!$A$36&gt;35,N22+M23-V22,IF(A23&lt;'Données projet'!$A$36,$K$205^A23,IF(A23='Données projet'!$A$36,'Données projet'!$B$36,N22+M23-V22)))</f>
        <v>315.66666666666663</v>
      </c>
      <c r="O23" s="13">
        <f>N23*VLOOKUP('Données projet'!$B$9,Paramètres!$A$1:$I$89,3,0)*VLOOKUP('Données projet'!$B$9,Paramètres!$A$1:$I$89,5,0)</f>
        <v>196.97599999999997</v>
      </c>
      <c r="P23" s="13">
        <f t="shared" si="33"/>
        <v>49.078995912586862</v>
      </c>
      <c r="Q23" s="20">
        <f t="shared" si="2"/>
        <v>428.54578454775537</v>
      </c>
      <c r="R23" s="59">
        <f t="shared" si="0"/>
        <v>721.87911788108863</v>
      </c>
      <c r="S23" s="59">
        <f ca="1">AVERAGE(OFFSET($R$3,0,0,'Données projet'!$E$9+1,1))-AVERAGE(OFFSET($H$3,0,0,'Données projet'!$E$9+1,1))</f>
        <v>482.28841373508675</v>
      </c>
      <c r="T23" s="59">
        <f t="shared" si="34"/>
        <v>746.97309214631684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73.944000000000003</v>
      </c>
      <c r="AK23" s="13">
        <f t="shared" si="35"/>
        <v>20.649745460165708</v>
      </c>
      <c r="AL23" s="20">
        <f t="shared" si="4"/>
        <v>164.75077334312192</v>
      </c>
      <c r="AM23" s="59">
        <f t="shared" si="5"/>
        <v>458.08410667645524</v>
      </c>
      <c r="AN23" s="59">
        <f ca="1">AVERAGE(OFFSET($AM$3,0,0,'Données projet'!$E$10+1,1))-AVERAGE(OFFSET($H$3,0,0,'Données projet'!$E$10+1,1))</f>
        <v>259.91478350500478</v>
      </c>
      <c r="AO23" s="59">
        <f t="shared" si="36"/>
        <v>192.27194887051007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31.6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0.30800000000000005</v>
      </c>
      <c r="AT23" s="16">
        <f>IF(ISNA(VLOOKUP(A23,'Données projet'!$A$61:$I$81,7,0)),0%,VLOOKUP(A23,'Données projet'!$A$61:$I$81,7,0))</f>
        <v>0.44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6.018643926817755</v>
      </c>
      <c r="AW23" s="21">
        <f>EXP(-LN(2)/2)*AW22+(1-EXP(-LN(2)/2))/(LN(2)/2)*AQ23*AT23*VLOOKUP('Données projet'!$B$10,Paramètres!$A$1:$I$89,3,0)*0.475*44/12</f>
        <v>7.3675170807301358</v>
      </c>
      <c r="AX23" s="21">
        <f t="shared" si="6"/>
        <v>13.386161007547891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137</v>
      </c>
      <c r="BB23" s="12">
        <f>VLOOKUP(A23,'Données projet'!$A$87:$I$107,9,0)</f>
        <v>11.333333333333334</v>
      </c>
      <c r="BC23" s="12">
        <f t="array" ref="BC23">INDEX(BB:BB,MIN(IF(ISNUMBER(BB23:BB219),ROW(BB23:BB219),"")))</f>
        <v>11.333333333333334</v>
      </c>
      <c r="BD23" s="12">
        <f>IF('Données projet'!$A$88&gt;35,BD22+BC23-BL22,IF(A23&lt;'Données projet'!$A$88,$BA$205^A23,IF(A23='Données projet'!$A$88,'Données projet'!$B$88,BD22+BC23-BL22)))</f>
        <v>137</v>
      </c>
      <c r="BE23" s="13">
        <f>BD23*VLOOKUP('Données projet'!$B$11,Paramètres!$A$1:$I$89,3,0)*VLOOKUP('Données projet'!$B$11,Paramètres!$A$1:$I$89,5,0)</f>
        <v>81.926000000000002</v>
      </c>
      <c r="BF23" s="13">
        <f t="shared" si="37"/>
        <v>22.607447146245146</v>
      </c>
      <c r="BG23" s="20">
        <f t="shared" si="7"/>
        <v>182.06242044637693</v>
      </c>
      <c r="BH23" s="59">
        <f t="shared" si="8"/>
        <v>475.39575377971028</v>
      </c>
      <c r="BI23" s="59">
        <f ca="1">AVERAGE(OFFSET($BH$3,0,0,'Données projet'!$E$11+1,1))-AVERAGE(OFFSET($H$3,0,0,'Données projet'!$E$11+1,1))</f>
        <v>284.60021367910457</v>
      </c>
      <c r="BJ23" s="59">
        <f t="shared" si="38"/>
        <v>301.41905904220812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0.315</v>
      </c>
      <c r="BN23" s="16">
        <f>IF(ISNA(VLOOKUP(A23,'Données projet'!$A$87:$I$107,6,0)),0%,VLOOKUP(A23,'Données projet'!$A$87:$I$107,6,0)*VLOOKUP('Données projet'!$B$11,Paramètres!$A$1:$I$89,7,0))</f>
        <v>7.5600000000000001E-2</v>
      </c>
      <c r="BO23" s="16">
        <f>IF(ISNA(VLOOKUP(A23,'Données projet'!$A$87:$I$107,7,0)),0%,VLOOKUP(A23,'Données projet'!$A$87:$I$107,7,0))</f>
        <v>0.13200000000000001</v>
      </c>
      <c r="BP23" s="21">
        <f>EXP(-LN(2)/35)*BP22+(1-EXP(-LN(2)/35))/(LN(2)/35)*BL23*BM23*VLOOKUP('Données projet'!$B$11,Paramètres!$A$1:$I$89,3,0)*0.475*44/12</f>
        <v>3.7482741970671931</v>
      </c>
      <c r="BQ23" s="21">
        <f>EXP(-LN(2)/25)*BQ22+(1-EXP(-LN(2)/25))/(LN(2)/25)*Calculateur!BL23*Calculateur!BN23*VLOOKUP('Données projet'!$B$11,Paramètres!$A$1:$I$89,3,0)*0.475*44/12</f>
        <v>3.6444719110888131</v>
      </c>
      <c r="BR23" s="21">
        <f>EXP(-LN(2)/2)*BR22+(1-EXP(-LN(2)/2))/(LN(2)/2)*BL23*BO23*VLOOKUP('Données projet'!$B$11,Paramètres!$A$1:$I$89,3,0)*0.475*44/12</f>
        <v>2.9205303974787946</v>
      </c>
      <c r="BS23" s="22">
        <f t="shared" si="9"/>
        <v>10.3132765056348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303</v>
      </c>
      <c r="BW23" s="12">
        <f>VLOOKUP(A23,'Données projet'!$A$113:$I$133,9,0)</f>
        <v>28.2</v>
      </c>
      <c r="BX23" s="12">
        <f t="array" ref="BX23">INDEX(BW:BW,MIN(IF(ISNUMBER(BW23:BW219),ROW(BW23:BW219),"")))</f>
        <v>28.2</v>
      </c>
      <c r="BY23" s="12">
        <f>IF('Données projet'!$A$114&gt;35,BY22+BX23-CG22,IF(A23&lt;'Données projet'!$A$114,$BV$205^A23,IF(A23='Données projet'!$A$114,'Données projet'!$B$114,BY22+BX23-CG22)))</f>
        <v>302.99999999999994</v>
      </c>
      <c r="BZ23" s="13">
        <f>BY23*VLOOKUP('Données projet'!$B$12,Paramètres!$A$1:$I$89,3,0)*VLOOKUP('Données projet'!$B$12,Paramètres!$A$1:$I$89,5,0)</f>
        <v>169.37699999999995</v>
      </c>
      <c r="CA23" s="13">
        <f t="shared" si="39"/>
        <v>42.950462509094685</v>
      </c>
      <c r="CB23" s="20">
        <f t="shared" si="10"/>
        <v>369.80366387000646</v>
      </c>
      <c r="CC23" s="59">
        <f t="shared" si="11"/>
        <v>663.13699720333977</v>
      </c>
      <c r="CD23" s="59">
        <f ca="1">AVERAGE(OFFSET($CC$3,0,0,'Données projet'!$E$12+1,1))-AVERAGE(OFFSET($H$3,0,0,'Données projet'!$E$12+1,1))</f>
        <v>490.96084572840579</v>
      </c>
      <c r="CE23" s="59">
        <f t="shared" si="40"/>
        <v>597.91658789908263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0.30800000000000005</v>
      </c>
      <c r="CJ23" s="16">
        <f>IF(ISNA(VLOOKUP(A23,'Données projet'!$A$113:$I$133,7,0)),0%,VLOOKUP(A23,'Données projet'!$A$113:$I$133,7,0))</f>
        <v>0.44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9.782412641250021</v>
      </c>
      <c r="CM23" s="21">
        <f>EXP(-LN(2)/2)*CM22+(1-EXP(-LN(2)/2))/(LN(2)/2)*CG23*CJ23*VLOOKUP('Données projet'!$B$12,Paramètres!$A$1:$I$89,3,0)*0.475*44/12</f>
        <v>11.974805803683211</v>
      </c>
      <c r="CN23" s="22">
        <f t="shared" si="12"/>
        <v>21.75721844493323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26.833333333333332</v>
      </c>
      <c r="N24" s="13">
        <f>IF('Données projet'!$A$36&gt;35,N23+M24-V23,IF(A24&lt;'Données projet'!$A$36,$K$205^A24,IF(A24='Données projet'!$A$36,'Données projet'!$B$36,N23+M24-V23)))</f>
        <v>342.49999999999994</v>
      </c>
      <c r="O24" s="13">
        <f>N24*VLOOKUP('Données projet'!$B$9,Paramètres!$A$1:$I$89,3,0)*VLOOKUP('Données projet'!$B$9,Paramètres!$A$1:$I$89,5,0)</f>
        <v>213.71999999999997</v>
      </c>
      <c r="P24" s="13">
        <f t="shared" si="33"/>
        <v>52.747666674989134</v>
      </c>
      <c r="Q24" s="20">
        <f t="shared" si="2"/>
        <v>464.0978527922727</v>
      </c>
      <c r="R24" s="59">
        <f t="shared" si="0"/>
        <v>757.43118612560602</v>
      </c>
      <c r="S24" s="59">
        <f ca="1">AVERAGE(OFFSET($R$3,0,0,'Données projet'!$E$9+1,1))-AVERAGE(OFFSET($H$3,0,0,'Données projet'!$E$9+1,1))</f>
        <v>482.28841373508675</v>
      </c>
      <c r="T24" s="59">
        <f t="shared" si="34"/>
        <v>746.97309214631684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9.1999999999999993</v>
      </c>
      <c r="AI24" s="13">
        <f>IF('Données projet'!$A$62&gt;35,AI23+AH24-AQ23,IF(A24&lt;'Données projet'!$A$62,$AF$205^A24,IF(A24='Données projet'!$A$62,'Données projet'!$B$62,AI23+AH24-AQ23)))</f>
        <v>135.6</v>
      </c>
      <c r="AJ24" s="13">
        <f>AI24*VLOOKUP('Données projet'!$B$10,Paramètres!$A$1:$I$89,3,0)*VLOOKUP('Données projet'!$B$10,Paramètres!$A$1:$I$89,5,0)</f>
        <v>63.460799999999999</v>
      </c>
      <c r="AK24" s="13">
        <f t="shared" si="35"/>
        <v>18.040391676592805</v>
      </c>
      <c r="AL24" s="20">
        <f t="shared" si="4"/>
        <v>141.94790883673247</v>
      </c>
      <c r="AM24" s="59">
        <f t="shared" si="5"/>
        <v>435.28124217006575</v>
      </c>
      <c r="AN24" s="59">
        <f ca="1">AVERAGE(OFFSET($AM$3,0,0,'Données projet'!$E$10+1,1))-AVERAGE(OFFSET($H$3,0,0,'Données projet'!$E$10+1,1))</f>
        <v>259.91478350500478</v>
      </c>
      <c r="AO24" s="59">
        <f t="shared" si="36"/>
        <v>192.27194887051007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5.8540637921321954</v>
      </c>
      <c r="AW24" s="21">
        <f>EXP(-LN(2)/2)*AW23+(1-EXP(-LN(2)/2))/(LN(2)/2)*AQ24*AT24*VLOOKUP('Données projet'!$B$10,Paramètres!$A$1:$I$89,3,0)*0.475*44/12</f>
        <v>5.2096212882919959</v>
      </c>
      <c r="AX24" s="21">
        <f t="shared" si="6"/>
        <v>11.063685080424191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16.399999999999999</v>
      </c>
      <c r="BD24" s="12">
        <f>IF('Données projet'!$A$88&gt;35,BD23+BC24-BL23,IF(A24&lt;'Données projet'!$A$88,$BA$205^A24,IF(A24='Données projet'!$A$88,'Données projet'!$B$88,BD23+BC24-BL23)))</f>
        <v>138.4</v>
      </c>
      <c r="BE24" s="13">
        <f>BD24*VLOOKUP('Données projet'!$B$11,Paramètres!$A$1:$I$89,3,0)*VLOOKUP('Données projet'!$B$11,Paramètres!$A$1:$I$89,5,0)</f>
        <v>82.763200000000012</v>
      </c>
      <c r="BF24" s="13">
        <f t="shared" si="37"/>
        <v>22.811459894537176</v>
      </c>
      <c r="BG24" s="20">
        <f t="shared" si="7"/>
        <v>183.8758659829856</v>
      </c>
      <c r="BH24" s="59">
        <f t="shared" si="8"/>
        <v>477.20919931631892</v>
      </c>
      <c r="BI24" s="59">
        <f ca="1">AVERAGE(OFFSET($BH$3,0,0,'Données projet'!$E$11+1,1))-AVERAGE(OFFSET($H$3,0,0,'Données projet'!$E$11+1,1))</f>
        <v>284.60021367910457</v>
      </c>
      <c r="BJ24" s="59">
        <f t="shared" si="38"/>
        <v>301.41905904220812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3.6747728262842201</v>
      </c>
      <c r="BQ24" s="21">
        <f>EXP(-LN(2)/25)*BQ23+(1-EXP(-LN(2)/25))/(LN(2)/25)*Calculateur!BL24*Calculateur!BN24*VLOOKUP('Données projet'!$B$11,Paramètres!$A$1:$I$89,3,0)*0.475*44/12</f>
        <v>3.5448136350256414</v>
      </c>
      <c r="BR24" s="21">
        <f>EXP(-LN(2)/2)*BR23+(1-EXP(-LN(2)/2))/(LN(2)/2)*BL24*BO24*VLOOKUP('Données projet'!$B$11,Paramètres!$A$1:$I$89,3,0)*0.475*44/12</f>
        <v>2.0651268487186987</v>
      </c>
      <c r="BS24" s="22">
        <f t="shared" si="9"/>
        <v>9.2847133100285593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31.8</v>
      </c>
      <c r="BY24" s="12">
        <f>IF('Données projet'!$A$114&gt;35,BY23+BX24-CG23,IF(A24&lt;'Données projet'!$A$114,$BV$205^A24,IF(A24='Données projet'!$A$114,'Données projet'!$B$114,BY23+BX24-CG23)))</f>
        <v>291.79999999999995</v>
      </c>
      <c r="BZ24" s="13">
        <f>BY24*VLOOKUP('Données projet'!$B$12,Paramètres!$A$1:$I$89,3,0)*VLOOKUP('Données projet'!$B$12,Paramètres!$A$1:$I$89,5,0)</f>
        <v>163.11619999999996</v>
      </c>
      <c r="CA24" s="13">
        <f t="shared" si="39"/>
        <v>41.544592017733109</v>
      </c>
      <c r="CB24" s="20">
        <f t="shared" si="10"/>
        <v>356.4508794308851</v>
      </c>
      <c r="CC24" s="59">
        <f t="shared" si="11"/>
        <v>649.78421276421841</v>
      </c>
      <c r="CD24" s="59">
        <f ca="1">AVERAGE(OFFSET($CC$3,0,0,'Données projet'!$E$12+1,1))-AVERAGE(OFFSET($H$3,0,0,'Données projet'!$E$12+1,1))</f>
        <v>490.96084572840579</v>
      </c>
      <c r="CE24" s="59">
        <f t="shared" si="40"/>
        <v>597.91658789908263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9.514912053140316</v>
      </c>
      <c r="CM24" s="21">
        <f>EXP(-LN(2)/2)*CM23+(1-EXP(-LN(2)/2))/(LN(2)/2)*CG24*CJ24*VLOOKUP('Données projet'!$B$12,Paramètres!$A$1:$I$89,3,0)*0.475*44/12</f>
        <v>8.4674663871764242</v>
      </c>
      <c r="CN24" s="22">
        <f t="shared" si="12"/>
        <v>17.98237844031674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26.833333333333332</v>
      </c>
      <c r="N25" s="13">
        <f>IF('Données projet'!$A$36&gt;35,N24+M25-V24,IF(A25&lt;'Données projet'!$A$36,$K$205^A25,IF(A25='Données projet'!$A$36,'Données projet'!$B$36,N24+M25-V24)))</f>
        <v>369.33333333333326</v>
      </c>
      <c r="O25" s="13">
        <f>N25*VLOOKUP('Données projet'!$B$9,Paramètres!$A$1:$I$89,3,0)*VLOOKUP('Données projet'!$B$9,Paramètres!$A$1:$I$89,5,0)</f>
        <v>230.46399999999994</v>
      </c>
      <c r="P25" s="13">
        <f t="shared" si="33"/>
        <v>56.382997408609569</v>
      </c>
      <c r="Q25" s="20">
        <f t="shared" si="2"/>
        <v>499.59185381999487</v>
      </c>
      <c r="R25" s="59">
        <f t="shared" si="0"/>
        <v>792.92518715332812</v>
      </c>
      <c r="S25" s="59">
        <f ca="1">AVERAGE(OFFSET($R$3,0,0,'Données projet'!$E$9+1,1))-AVERAGE(OFFSET($H$3,0,0,'Données projet'!$E$9+1,1))</f>
        <v>482.28841373508675</v>
      </c>
      <c r="T25" s="59">
        <f t="shared" si="34"/>
        <v>746.97309214631684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9.1999999999999993</v>
      </c>
      <c r="AI25" s="13">
        <f>IF('Données projet'!$A$62&gt;35,AI24+AH25-AQ24,IF(A25&lt;'Données projet'!$A$62,$AF$205^A25,IF(A25='Données projet'!$A$62,'Données projet'!$B$62,AI24+AH25-AQ24)))</f>
        <v>144.79999999999998</v>
      </c>
      <c r="AJ25" s="13">
        <f>AI25*VLOOKUP('Données projet'!$B$10,Paramètres!$A$1:$I$89,3,0)*VLOOKUP('Données projet'!$B$10,Paramètres!$A$1:$I$89,5,0)</f>
        <v>67.76639999999999</v>
      </c>
      <c r="AK25" s="13">
        <f t="shared" si="35"/>
        <v>19.117733439735236</v>
      </c>
      <c r="AL25" s="20">
        <f t="shared" si="4"/>
        <v>151.32319907420549</v>
      </c>
      <c r="AM25" s="59">
        <f t="shared" si="5"/>
        <v>444.6565324075388</v>
      </c>
      <c r="AN25" s="59">
        <f ca="1">AVERAGE(OFFSET($AM$3,0,0,'Données projet'!$E$10+1,1))-AVERAGE(OFFSET($H$3,0,0,'Données projet'!$E$10+1,1))</f>
        <v>259.91478350500478</v>
      </c>
      <c r="AO25" s="59">
        <f t="shared" si="36"/>
        <v>192.27194887051007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5.6939841098845054</v>
      </c>
      <c r="AW25" s="21">
        <f>EXP(-LN(2)/2)*AW24+(1-EXP(-LN(2)/2))/(LN(2)/2)*AQ25*AT25*VLOOKUP('Données projet'!$B$10,Paramètres!$A$1:$I$89,3,0)*0.475*44/12</f>
        <v>3.6837585403650683</v>
      </c>
      <c r="AX25" s="21">
        <f t="shared" si="6"/>
        <v>9.3777426502495729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16.399999999999999</v>
      </c>
      <c r="BD25" s="12">
        <f>IF('Données projet'!$A$88&gt;35,BD24+BC25-BL24,IF(A25&lt;'Données projet'!$A$88,$BA$205^A25,IF(A25='Données projet'!$A$88,'Données projet'!$B$88,BD24+BC25-BL24)))</f>
        <v>154.80000000000001</v>
      </c>
      <c r="BE25" s="13">
        <f>BD25*VLOOKUP('Données projet'!$B$11,Paramètres!$A$1:$I$89,3,0)*VLOOKUP('Données projet'!$B$11,Paramètres!$A$1:$I$89,5,0)</f>
        <v>92.570400000000021</v>
      </c>
      <c r="BF25" s="13">
        <f t="shared" si="37"/>
        <v>25.184123943972491</v>
      </c>
      <c r="BG25" s="20">
        <f t="shared" si="7"/>
        <v>205.0891292024188</v>
      </c>
      <c r="BH25" s="59">
        <f t="shared" si="8"/>
        <v>498.42246253575212</v>
      </c>
      <c r="BI25" s="59">
        <f ca="1">AVERAGE(OFFSET($BH$3,0,0,'Données projet'!$E$11+1,1))-AVERAGE(OFFSET($H$3,0,0,'Données projet'!$E$11+1,1))</f>
        <v>284.60021367910457</v>
      </c>
      <c r="BJ25" s="59">
        <f t="shared" si="38"/>
        <v>301.41905904220812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3.6027127725508916</v>
      </c>
      <c r="BQ25" s="21">
        <f>EXP(-LN(2)/25)*BQ24+(1-EXP(-LN(2)/25))/(LN(2)/25)*Calculateur!BL25*Calculateur!BN25*VLOOKUP('Données projet'!$B$11,Paramètres!$A$1:$I$89,3,0)*0.475*44/12</f>
        <v>3.4478805197622178</v>
      </c>
      <c r="BR25" s="21">
        <f>EXP(-LN(2)/2)*BR24+(1-EXP(-LN(2)/2))/(LN(2)/2)*BL25*BO25*VLOOKUP('Données projet'!$B$11,Paramètres!$A$1:$I$89,3,0)*0.475*44/12</f>
        <v>1.4602651987393973</v>
      </c>
      <c r="BS25" s="22">
        <f t="shared" si="9"/>
        <v>8.5108584910525078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31.8</v>
      </c>
      <c r="BY25" s="12">
        <f>IF('Données projet'!$A$114&gt;35,BY24+BX25-CG24,IF(A25&lt;'Données projet'!$A$114,$BV$205^A25,IF(A25='Données projet'!$A$114,'Données projet'!$B$114,BY24+BX25-CG24)))</f>
        <v>323.59999999999997</v>
      </c>
      <c r="BZ25" s="13">
        <f>BY25*VLOOKUP('Données projet'!$B$12,Paramètres!$A$1:$I$89,3,0)*VLOOKUP('Données projet'!$B$12,Paramètres!$A$1:$I$89,5,0)</f>
        <v>180.89240000000001</v>
      </c>
      <c r="CA25" s="13">
        <f t="shared" si="39"/>
        <v>45.520671542487669</v>
      </c>
      <c r="CB25" s="20">
        <f t="shared" si="10"/>
        <v>394.33609960316602</v>
      </c>
      <c r="CC25" s="59">
        <f t="shared" si="11"/>
        <v>687.66943293649933</v>
      </c>
      <c r="CD25" s="59">
        <f ca="1">AVERAGE(OFFSET($CC$3,0,0,'Données projet'!$E$12+1,1))-AVERAGE(OFFSET($H$3,0,0,'Données projet'!$E$12+1,1))</f>
        <v>490.96084572840579</v>
      </c>
      <c r="CE25" s="59">
        <f t="shared" si="40"/>
        <v>597.91658789908263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9.2547262826797159</v>
      </c>
      <c r="CM25" s="21">
        <f>EXP(-LN(2)/2)*CM24+(1-EXP(-LN(2)/2))/(LN(2)/2)*CG25*CJ25*VLOOKUP('Données projet'!$B$12,Paramètres!$A$1:$I$89,3,0)*0.475*44/12</f>
        <v>5.9874029018416062</v>
      </c>
      <c r="CN25" s="22">
        <f t="shared" si="12"/>
        <v>15.242129184521321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26.833333333333332</v>
      </c>
      <c r="N26" s="13">
        <f>IF('Données projet'!$A$36&gt;35,N25+M26-V25,IF(A26&lt;'Données projet'!$A$36,$K$205^A26,IF(A26='Données projet'!$A$36,'Données projet'!$B$36,N25+M26-V25)))</f>
        <v>396.16666666666657</v>
      </c>
      <c r="O26" s="13">
        <f>N26*VLOOKUP('Données projet'!$B$9,Paramètres!$A$1:$I$89,3,0)*VLOOKUP('Données projet'!$B$9,Paramètres!$A$1:$I$89,5,0)</f>
        <v>247.20799999999994</v>
      </c>
      <c r="P26" s="13">
        <f t="shared" si="33"/>
        <v>59.98768585042928</v>
      </c>
      <c r="Q26" s="20">
        <f t="shared" si="2"/>
        <v>535.0324861894976</v>
      </c>
      <c r="R26" s="59">
        <f t="shared" si="0"/>
        <v>828.36581952283086</v>
      </c>
      <c r="S26" s="59">
        <f ca="1">AVERAGE(OFFSET($R$3,0,0,'Données projet'!$E$9+1,1))-AVERAGE(OFFSET($H$3,0,0,'Données projet'!$E$9+1,1))</f>
        <v>482.28841373508675</v>
      </c>
      <c r="T26" s="59">
        <f t="shared" si="34"/>
        <v>746.97309214631684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9.1999999999999993</v>
      </c>
      <c r="AI26" s="13">
        <f>IF('Données projet'!$A$62&gt;35,AI25+AH26-AQ25,IF(A26&lt;'Données projet'!$A$62,$AF$205^A26,IF(A26='Données projet'!$A$62,'Données projet'!$B$62,AI25+AH26-AQ25)))</f>
        <v>153.99999999999997</v>
      </c>
      <c r="AJ26" s="13">
        <f>AI26*VLOOKUP('Données projet'!$B$10,Paramètres!$A$1:$I$89,3,0)*VLOOKUP('Données projet'!$B$10,Paramètres!$A$1:$I$89,5,0)</f>
        <v>72.071999999999989</v>
      </c>
      <c r="AK26" s="13">
        <f t="shared" si="35"/>
        <v>20.187131385147271</v>
      </c>
      <c r="AL26" s="20">
        <f t="shared" si="4"/>
        <v>160.68465382913146</v>
      </c>
      <c r="AM26" s="59">
        <f t="shared" si="5"/>
        <v>454.01798716246481</v>
      </c>
      <c r="AN26" s="59">
        <f ca="1">AVERAGE(OFFSET($AM$3,0,0,'Données projet'!$E$10+1,1))-AVERAGE(OFFSET($H$3,0,0,'Données projet'!$E$10+1,1))</f>
        <v>259.91478350500478</v>
      </c>
      <c r="AO26" s="59">
        <f t="shared" si="36"/>
        <v>192.27194887051007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5.5382818149661031</v>
      </c>
      <c r="AW26" s="21">
        <f>EXP(-LN(2)/2)*AW25+(1-EXP(-LN(2)/2))/(LN(2)/2)*AQ26*AT26*VLOOKUP('Données projet'!$B$10,Paramètres!$A$1:$I$89,3,0)*0.475*44/12</f>
        <v>2.6048106441459984</v>
      </c>
      <c r="AX26" s="21">
        <f t="shared" si="6"/>
        <v>8.1430924591121006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16.399999999999999</v>
      </c>
      <c r="BD26" s="12">
        <f>IF('Données projet'!$A$88&gt;35,BD25+BC26-BL25,IF(A26&lt;'Données projet'!$A$88,$BA$205^A26,IF(A26='Données projet'!$A$88,'Données projet'!$B$88,BD25+BC26-BL25)))</f>
        <v>171.20000000000002</v>
      </c>
      <c r="BE26" s="13">
        <f>BD26*VLOOKUP('Données projet'!$B$11,Paramètres!$A$1:$I$89,3,0)*VLOOKUP('Données projet'!$B$11,Paramètres!$A$1:$I$89,5,0)</f>
        <v>102.37760000000002</v>
      </c>
      <c r="BF26" s="13">
        <f t="shared" si="37"/>
        <v>27.527651005505614</v>
      </c>
      <c r="BG26" s="20">
        <f t="shared" si="7"/>
        <v>226.25164550125564</v>
      </c>
      <c r="BH26" s="59">
        <f t="shared" si="8"/>
        <v>519.58497883458892</v>
      </c>
      <c r="BI26" s="59">
        <f ca="1">AVERAGE(OFFSET($BH$3,0,0,'Données projet'!$E$11+1,1))-AVERAGE(OFFSET($H$3,0,0,'Données projet'!$E$11+1,1))</f>
        <v>284.60021367910457</v>
      </c>
      <c r="BJ26" s="59">
        <f t="shared" si="38"/>
        <v>301.41905904220812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3.532065772518981</v>
      </c>
      <c r="BQ26" s="21">
        <f>EXP(-LN(2)/25)*BQ25+(1-EXP(-LN(2)/25))/(LN(2)/25)*Calculateur!BL26*Calculateur!BN26*VLOOKUP('Données projet'!$B$11,Paramètres!$A$1:$I$89,3,0)*0.475*44/12</f>
        <v>3.3535980456331638</v>
      </c>
      <c r="BR26" s="21">
        <f>EXP(-LN(2)/2)*BR25+(1-EXP(-LN(2)/2))/(LN(2)/2)*BL26*BO26*VLOOKUP('Données projet'!$B$11,Paramètres!$A$1:$I$89,3,0)*0.475*44/12</f>
        <v>1.0325634243593493</v>
      </c>
      <c r="BS26" s="22">
        <f t="shared" si="9"/>
        <v>7.9182272425114935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31.8</v>
      </c>
      <c r="BY26" s="12">
        <f>IF('Données projet'!$A$114&gt;35,BY25+BX26-CG25,IF(A26&lt;'Données projet'!$A$114,$BV$205^A26,IF(A26='Données projet'!$A$114,'Données projet'!$B$114,BY25+BX26-CG25)))</f>
        <v>355.4</v>
      </c>
      <c r="BZ26" s="13">
        <f>BY26*VLOOKUP('Données projet'!$B$12,Paramètres!$A$1:$I$89,3,0)*VLOOKUP('Données projet'!$B$12,Paramètres!$A$1:$I$89,5,0)</f>
        <v>198.66859999999997</v>
      </c>
      <c r="CA26" s="13">
        <f t="shared" si="39"/>
        <v>49.451452656287465</v>
      </c>
      <c r="CB26" s="20">
        <f t="shared" si="10"/>
        <v>432.14242504303394</v>
      </c>
      <c r="CC26" s="59">
        <f t="shared" si="11"/>
        <v>725.47575837636725</v>
      </c>
      <c r="CD26" s="59">
        <f ca="1">AVERAGE(OFFSET($CC$3,0,0,'Données projet'!$E$12+1,1))-AVERAGE(OFFSET($H$3,0,0,'Données projet'!$E$12+1,1))</f>
        <v>490.96084572840579</v>
      </c>
      <c r="CE26" s="59">
        <f t="shared" si="40"/>
        <v>597.91658789908263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9.0016553057949356</v>
      </c>
      <c r="CM26" s="21">
        <f>EXP(-LN(2)/2)*CM25+(1-EXP(-LN(2)/2))/(LN(2)/2)*CG26*CJ26*VLOOKUP('Données projet'!$B$12,Paramètres!$A$1:$I$89,3,0)*0.475*44/12</f>
        <v>4.233733193588213</v>
      </c>
      <c r="CN26" s="22">
        <f t="shared" si="12"/>
        <v>13.235388499383149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423</v>
      </c>
      <c r="L27" s="12">
        <f>VLOOKUP(A27,'Données projet'!$A$35:$I$55,9,0)</f>
        <v>26.833333333333332</v>
      </c>
      <c r="M27" s="12">
        <f t="array" ref="M27">INDEX(L:L,MIN(IF(ISNUMBER(L27:L223),ROW(L27:L223),"")))</f>
        <v>26.833333333333332</v>
      </c>
      <c r="N27" s="13">
        <f>IF('Données projet'!$A$36&gt;35,N26+M27-V26,IF(A27&lt;'Données projet'!$A$36,$K$205^A27,IF(A27='Données projet'!$A$36,'Données projet'!$B$36,N26+M27-V26)))</f>
        <v>422.99999999999989</v>
      </c>
      <c r="O27" s="13">
        <f>N27*VLOOKUP('Données projet'!$B$9,Paramètres!$A$1:$I$89,3,0)*VLOOKUP('Données projet'!$B$9,Paramètres!$A$1:$I$89,5,0)</f>
        <v>263.95199999999994</v>
      </c>
      <c r="P27" s="13">
        <f t="shared" si="33"/>
        <v>63.564043607303319</v>
      </c>
      <c r="Q27" s="20">
        <f t="shared" si="2"/>
        <v>570.42377594938648</v>
      </c>
      <c r="R27" s="59">
        <f t="shared" si="0"/>
        <v>863.75710928271974</v>
      </c>
      <c r="S27" s="59">
        <f ca="1">AVERAGE(OFFSET($R$3,0,0,'Données projet'!$E$9+1,1))-AVERAGE(OFFSET($H$3,0,0,'Données projet'!$E$9+1,1))</f>
        <v>482.28841373508675</v>
      </c>
      <c r="T27" s="59">
        <f t="shared" si="34"/>
        <v>746.97309214631684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0.42</v>
      </c>
      <c r="X27" s="16">
        <f>IF(ISNA(VLOOKUP(A27,'Données projet'!$A$35:$I$55,6,0)),0%,VLOOKUP(A27,'Données projet'!$A$35:$I$55,6,0)*VLOOKUP('Données projet'!$B$9,Paramètres!$A$1:$I$89,7,0))</f>
        <v>0.1008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9.1999999999999993</v>
      </c>
      <c r="AI27" s="13">
        <f>IF('Données projet'!$A$62&gt;35,AI26+AH27-AQ26,IF(A27&lt;'Données projet'!$A$62,$AF$205^A27,IF(A27='Données projet'!$A$62,'Données projet'!$B$62,AI26+AH27-AQ26)))</f>
        <v>163.19999999999996</v>
      </c>
      <c r="AJ27" s="13">
        <f>AI27*VLOOKUP('Données projet'!$B$10,Paramètres!$A$1:$I$89,3,0)*VLOOKUP('Données projet'!$B$10,Paramètres!$A$1:$I$89,5,0)</f>
        <v>76.377599999999973</v>
      </c>
      <c r="AK27" s="13">
        <f t="shared" si="35"/>
        <v>21.249114127498402</v>
      </c>
      <c r="AL27" s="20">
        <f t="shared" si="4"/>
        <v>170.03319377205966</v>
      </c>
      <c r="AM27" s="59">
        <f t="shared" si="5"/>
        <v>463.36652710539295</v>
      </c>
      <c r="AN27" s="59">
        <f ca="1">AVERAGE(OFFSET($AM$3,0,0,'Données projet'!$E$10+1,1))-AVERAGE(OFFSET($H$3,0,0,'Données projet'!$E$10+1,1))</f>
        <v>259.91478350500478</v>
      </c>
      <c r="AO27" s="59">
        <f t="shared" si="36"/>
        <v>192.27194887051007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5.386837207490272</v>
      </c>
      <c r="AW27" s="21">
        <f>EXP(-LN(2)/2)*AW26+(1-EXP(-LN(2)/2))/(LN(2)/2)*AQ27*AT27*VLOOKUP('Données projet'!$B$10,Paramètres!$A$1:$I$89,3,0)*0.475*44/12</f>
        <v>1.8418792701825346</v>
      </c>
      <c r="AX27" s="21">
        <f t="shared" si="6"/>
        <v>7.2287164776728066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16.399999999999999</v>
      </c>
      <c r="BD27" s="12">
        <f>IF('Données projet'!$A$88&gt;35,BD26+BC27-BL26,IF(A27&lt;'Données projet'!$A$88,$BA$205^A27,IF(A27='Données projet'!$A$88,'Données projet'!$B$88,BD26+BC27-BL26)))</f>
        <v>187.60000000000002</v>
      </c>
      <c r="BE27" s="13">
        <f>BD27*VLOOKUP('Données projet'!$B$11,Paramètres!$A$1:$I$89,3,0)*VLOOKUP('Données projet'!$B$11,Paramètres!$A$1:$I$89,5,0)</f>
        <v>112.18480000000002</v>
      </c>
      <c r="BF27" s="13">
        <f t="shared" si="37"/>
        <v>29.845149809641946</v>
      </c>
      <c r="BG27" s="20">
        <f t="shared" si="7"/>
        <v>247.36882925179307</v>
      </c>
      <c r="BH27" s="59">
        <f t="shared" si="8"/>
        <v>540.70216258512642</v>
      </c>
      <c r="BI27" s="59">
        <f ca="1">AVERAGE(OFFSET($BH$3,0,0,'Données projet'!$E$11+1,1))-AVERAGE(OFFSET($H$3,0,0,'Données projet'!$E$11+1,1))</f>
        <v>284.60021367910457</v>
      </c>
      <c r="BJ27" s="59">
        <f t="shared" si="38"/>
        <v>301.41905904220812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3.462804117067281</v>
      </c>
      <c r="BQ27" s="21">
        <f>EXP(-LN(2)/25)*BQ26+(1-EXP(-LN(2)/25))/(LN(2)/25)*Calculateur!BL27*Calculateur!BN27*VLOOKUP('Données projet'!$B$11,Paramètres!$A$1:$I$89,3,0)*0.475*44/12</f>
        <v>3.2618937307172686</v>
      </c>
      <c r="BR27" s="21">
        <f>EXP(-LN(2)/2)*BR26+(1-EXP(-LN(2)/2))/(LN(2)/2)*BL27*BO27*VLOOKUP('Données projet'!$B$11,Paramètres!$A$1:$I$89,3,0)*0.475*44/12</f>
        <v>0.73013259936969865</v>
      </c>
      <c r="BS27" s="22">
        <f t="shared" si="9"/>
        <v>7.4548304471542481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31.8</v>
      </c>
      <c r="BY27" s="12">
        <f>IF('Données projet'!$A$114&gt;35,BY26+BX27-CG26,IF(A27&lt;'Données projet'!$A$114,$BV$205^A27,IF(A27='Données projet'!$A$114,'Données projet'!$B$114,BY26+BX27-CG26)))</f>
        <v>387.2</v>
      </c>
      <c r="BZ27" s="13">
        <f>BY27*VLOOKUP('Données projet'!$B$12,Paramètres!$A$1:$I$89,3,0)*VLOOKUP('Données projet'!$B$12,Paramètres!$A$1:$I$89,5,0)</f>
        <v>216.44479999999999</v>
      </c>
      <c r="CA27" s="13">
        <f t="shared" si="39"/>
        <v>53.341449419561528</v>
      </c>
      <c r="CB27" s="20">
        <f t="shared" si="10"/>
        <v>469.87771773906962</v>
      </c>
      <c r="CC27" s="59">
        <f t="shared" si="11"/>
        <v>763.21105107240294</v>
      </c>
      <c r="CD27" s="59">
        <f ca="1">AVERAGE(OFFSET($CC$3,0,0,'Données projet'!$E$12+1,1))-AVERAGE(OFFSET($H$3,0,0,'Données projet'!$E$12+1,1))</f>
        <v>490.96084572840579</v>
      </c>
      <c r="CE27" s="59">
        <f t="shared" si="40"/>
        <v>597.91658789908263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8.7555045680814949</v>
      </c>
      <c r="CM27" s="21">
        <f>EXP(-LN(2)/2)*CM26+(1-EXP(-LN(2)/2))/(LN(2)/2)*CG27*CJ27*VLOOKUP('Données projet'!$B$12,Paramètres!$A$1:$I$89,3,0)*0.475*44/12</f>
        <v>2.993701450920804</v>
      </c>
      <c r="CN27" s="22">
        <f t="shared" si="12"/>
        <v>11.749206019002299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26.666666666666668</v>
      </c>
      <c r="N28" s="13">
        <f>IF('Données projet'!$A$36&gt;35,N27+M28-V27,IF(A28&lt;'Données projet'!$A$36,$K$205^A28,IF(A28='Données projet'!$A$36,'Données projet'!$B$36,N27+M28-V27)))</f>
        <v>449.66666666666657</v>
      </c>
      <c r="O28" s="13">
        <f>N28*VLOOKUP('Données projet'!$B$9,Paramètres!$A$1:$I$89,3,0)*VLOOKUP('Données projet'!$B$9,Paramètres!$A$1:$I$89,5,0)</f>
        <v>280.59199999999993</v>
      </c>
      <c r="P28" s="13">
        <f t="shared" si="33"/>
        <v>67.092100116644588</v>
      </c>
      <c r="Q28" s="20">
        <f t="shared" si="2"/>
        <v>605.54980770315581</v>
      </c>
      <c r="R28" s="59">
        <f t="shared" si="0"/>
        <v>898.88314103648918</v>
      </c>
      <c r="S28" s="59">
        <f ca="1">AVERAGE(OFFSET($R$3,0,0,'Données projet'!$E$9+1,1))-AVERAGE(OFFSET($H$3,0,0,'Données projet'!$E$9+1,1))</f>
        <v>482.28841373508675</v>
      </c>
      <c r="T28" s="59">
        <f t="shared" si="34"/>
        <v>746.97309214631684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9.1999999999999993</v>
      </c>
      <c r="AI28" s="13">
        <f>IF('Données projet'!$A$62&gt;35,AI27+AH28-AQ27,IF(A28&lt;'Données projet'!$A$62,$AF$205^A28,IF(A28='Données projet'!$A$62,'Données projet'!$B$62,AI27+AH28-AQ27)))</f>
        <v>172.39999999999995</v>
      </c>
      <c r="AJ28" s="13">
        <f>AI28*VLOOKUP('Données projet'!$B$10,Paramètres!$A$1:$I$89,3,0)*VLOOKUP('Données projet'!$B$10,Paramètres!$A$1:$I$89,5,0)</f>
        <v>80.683199999999971</v>
      </c>
      <c r="AK28" s="13">
        <f t="shared" si="35"/>
        <v>22.304147316572461</v>
      </c>
      <c r="AL28" s="20">
        <f t="shared" si="4"/>
        <v>179.36962990969698</v>
      </c>
      <c r="AM28" s="59">
        <f t="shared" si="5"/>
        <v>472.7029632430303</v>
      </c>
      <c r="AN28" s="59">
        <f ca="1">AVERAGE(OFFSET($AM$3,0,0,'Données projet'!$E$10+1,1))-AVERAGE(OFFSET($H$3,0,0,'Données projet'!$E$10+1,1))</f>
        <v>259.91478350500478</v>
      </c>
      <c r="AO28" s="59">
        <f t="shared" si="36"/>
        <v>192.27194887051007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5.2395338607699937</v>
      </c>
      <c r="AW28" s="21">
        <f>EXP(-LN(2)/2)*AW27+(1-EXP(-LN(2)/2))/(LN(2)/2)*AQ28*AT28*VLOOKUP('Données projet'!$B$10,Paramètres!$A$1:$I$89,3,0)*0.475*44/12</f>
        <v>1.3024053220729994</v>
      </c>
      <c r="AX28" s="21">
        <f t="shared" si="6"/>
        <v>6.5419391828429934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204</v>
      </c>
      <c r="BB28" s="12">
        <f>VLOOKUP(A28,'Données projet'!$A$87:$I$107,9,0)</f>
        <v>16.399999999999999</v>
      </c>
      <c r="BC28" s="12">
        <f t="array" ref="BC28">INDEX(BB:BB,MIN(IF(ISNUMBER(BB28:BB224),ROW(BB28:BB224),"")))</f>
        <v>16.399999999999999</v>
      </c>
      <c r="BD28" s="12">
        <f>IF('Données projet'!$A$88&gt;35,BD27+BC28-BL27,IF(A28&lt;'Données projet'!$A$88,$BA$205^A28,IF(A28='Données projet'!$A$88,'Données projet'!$B$88,BD27+BC28-BL27)))</f>
        <v>204.00000000000003</v>
      </c>
      <c r="BE28" s="13">
        <f>BD28*VLOOKUP('Données projet'!$B$11,Paramètres!$A$1:$I$89,3,0)*VLOOKUP('Données projet'!$B$11,Paramètres!$A$1:$I$89,5,0)</f>
        <v>121.99200000000003</v>
      </c>
      <c r="BF28" s="13">
        <f t="shared" si="37"/>
        <v>32.139154469866327</v>
      </c>
      <c r="BG28" s="20">
        <f t="shared" si="7"/>
        <v>268.44509403501723</v>
      </c>
      <c r="BH28" s="59">
        <f t="shared" si="8"/>
        <v>561.77842736835055</v>
      </c>
      <c r="BI28" s="59">
        <f ca="1">AVERAGE(OFFSET($BH$3,0,0,'Données projet'!$E$11+1,1))-AVERAGE(OFFSET($H$3,0,0,'Données projet'!$E$11+1,1))</f>
        <v>284.60021367910457</v>
      </c>
      <c r="BJ28" s="59">
        <f t="shared" si="38"/>
        <v>301.41905904220812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36</v>
      </c>
      <c r="BM28" s="16">
        <f>IF(ISNA(VLOOKUP(A28,'Données projet'!$A$87:$I$107,5,0)),0%,VLOOKUP(A28,'Données projet'!$A$87:$I$107,5,0)*VLOOKUP('Données projet'!$B$11,Paramètres!$A$1:$I$89,7,0))</f>
        <v>0.315</v>
      </c>
      <c r="BN28" s="16">
        <f>IF(ISNA(VLOOKUP(A28,'Données projet'!$A$87:$I$107,6,0)),0%,VLOOKUP(A28,'Données projet'!$A$87:$I$107,6,0)*VLOOKUP('Données projet'!$B$11,Paramètres!$A$1:$I$89,7,0))</f>
        <v>7.5600000000000001E-2</v>
      </c>
      <c r="BO28" s="16">
        <f>IF(ISNA(VLOOKUP(A28,'Données projet'!$A$87:$I$107,7,0)),0%,VLOOKUP(A28,'Données projet'!$A$87:$I$107,7,0))</f>
        <v>0.13200000000000001</v>
      </c>
      <c r="BP28" s="21">
        <f>EXP(-LN(2)/35)*BP27+(1-EXP(-LN(2)/35))/(LN(2)/35)*BL28*BM28*VLOOKUP('Données projet'!$B$11,Paramètres!$A$1:$I$89,3,0)*0.475*44/12</f>
        <v>12.390758713394813</v>
      </c>
      <c r="BQ28" s="21">
        <f>EXP(-LN(2)/25)*BQ27+(1-EXP(-LN(2)/25))/(LN(2)/25)*Calculateur!BL28*Calculateur!BN28*VLOOKUP('Données projet'!$B$11,Paramètres!$A$1:$I$89,3,0)*0.475*44/12</f>
        <v>5.323202183604236</v>
      </c>
      <c r="BR28" s="21">
        <f>EXP(-LN(2)/2)*BR27+(1-EXP(-LN(2)/2))/(LN(2)/2)*BL28*BO28*VLOOKUP('Données projet'!$B$11,Paramètres!$A$1:$I$89,3,0)*0.475*44/12</f>
        <v>3.7337417031314426</v>
      </c>
      <c r="BS28" s="22">
        <f t="shared" si="9"/>
        <v>21.447702600130491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419</v>
      </c>
      <c r="BW28" s="12">
        <f>VLOOKUP(A28,'Données projet'!$A$113:$I$133,9,0)</f>
        <v>31.8</v>
      </c>
      <c r="BX28" s="12">
        <f t="array" ref="BX28">INDEX(BW:BW,MIN(IF(ISNUMBER(BW28:BW224),ROW(BW28:BW224),"")))</f>
        <v>31.8</v>
      </c>
      <c r="BY28" s="12">
        <f>IF('Données projet'!$A$114&gt;35,BY27+BX28-CG27,IF(A28&lt;'Données projet'!$A$114,$BV$205^A28,IF(A28='Données projet'!$A$114,'Données projet'!$B$114,BY27+BX28-CG27)))</f>
        <v>419</v>
      </c>
      <c r="BZ28" s="13">
        <f>BY28*VLOOKUP('Données projet'!$B$12,Paramètres!$A$1:$I$89,3,0)*VLOOKUP('Données projet'!$B$12,Paramètres!$A$1:$I$89,5,0)</f>
        <v>234.221</v>
      </c>
      <c r="CA28" s="13">
        <f t="shared" si="39"/>
        <v>57.194392182630075</v>
      </c>
      <c r="CB28" s="20">
        <f t="shared" si="10"/>
        <v>507.54847471808063</v>
      </c>
      <c r="CC28" s="59">
        <f t="shared" si="11"/>
        <v>800.88180805141394</v>
      </c>
      <c r="CD28" s="59">
        <f ca="1">AVERAGE(OFFSET($CC$3,0,0,'Données projet'!$E$12+1,1))-AVERAGE(OFFSET($H$3,0,0,'Données projet'!$E$12+1,1))</f>
        <v>490.96084572840579</v>
      </c>
      <c r="CE28" s="59">
        <f t="shared" si="40"/>
        <v>597.91658789908263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60</v>
      </c>
      <c r="CH28" s="16">
        <f>IF(ISNA(VLOOKUP(A28,'Données projet'!$A$113:$I$133,5,0)),0%,VLOOKUP(A28,'Données projet'!$A$113:$I$133,5,0)*VLOOKUP('Données projet'!$B$12,Paramètres!$A$1:$I$89,7,0))</f>
        <v>0.38500000000000001</v>
      </c>
      <c r="CI28" s="16">
        <f>IF(ISNA(VLOOKUP(A28,'Données projet'!$A$113:$I$133,6,0)),0%,VLOOKUP(A28,'Données projet'!$A$113:$I$133,6,0)*VLOOKUP('Données projet'!$B$12,Paramètres!$A$1:$I$89,7,0))</f>
        <v>9.240000000000001E-2</v>
      </c>
      <c r="CJ28" s="16">
        <f>IF(ISNA(VLOOKUP(A28,'Données projet'!$A$113:$I$133,7,0)),0%,VLOOKUP(A28,'Données projet'!$A$113:$I$133,7,0))</f>
        <v>0.13200000000000001</v>
      </c>
      <c r="CK28" s="21">
        <f>EXP(-LN(2)/35)*CK27+(1-EXP(-LN(2)/35))/(LN(2)/35)*CG28*CH28*VLOOKUP('Données projet'!$B$12,Paramètres!$A$1:$I$89,3,0)*0.475*44/12</f>
        <v>17.129794156645243</v>
      </c>
      <c r="CL28" s="21">
        <f>EXP(-LN(2)/25)*CL27+(1-EXP(-LN(2)/25))/(LN(2)/25)*Calculateur!CG28*Calculateur!CI28*VLOOKUP('Données projet'!$B$12,Paramètres!$A$1:$I$89,3,0)*0.475*44/12</f>
        <v>12.611048266456272</v>
      </c>
      <c r="CM28" s="21">
        <f>EXP(-LN(2)/2)*CM27+(1-EXP(-LN(2)/2))/(LN(2)/2)*CG28*CJ28*VLOOKUP('Données projet'!$B$12,Paramètres!$A$1:$I$89,3,0)*0.475*44/12</f>
        <v>7.1295760029870792</v>
      </c>
      <c r="CN28" s="22">
        <f t="shared" si="12"/>
        <v>36.870418426088591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26.666666666666668</v>
      </c>
      <c r="N29" s="13">
        <f>IF('Données projet'!$A$36&gt;35,N28+M29-V28,IF(A29&lt;'Données projet'!$A$36,$K$205^A29,IF(A29='Données projet'!$A$36,'Données projet'!$B$36,N28+M29-V28)))</f>
        <v>476.33333333333326</v>
      </c>
      <c r="O29" s="13">
        <f>N29*VLOOKUP('Données projet'!$B$9,Paramètres!$A$1:$I$89,3,0)*VLOOKUP('Données projet'!$B$9,Paramètres!$A$1:$I$89,5,0)</f>
        <v>297.23199999999997</v>
      </c>
      <c r="P29" s="13">
        <f t="shared" si="33"/>
        <v>70.595871675224544</v>
      </c>
      <c r="Q29" s="20">
        <f t="shared" si="2"/>
        <v>640.63354316768266</v>
      </c>
      <c r="R29" s="59">
        <f t="shared" si="0"/>
        <v>933.96687650101603</v>
      </c>
      <c r="S29" s="59">
        <f ca="1">AVERAGE(OFFSET($R$3,0,0,'Données projet'!$E$9+1,1))-AVERAGE(OFFSET($H$3,0,0,'Données projet'!$E$9+1,1))</f>
        <v>482.28841373508675</v>
      </c>
      <c r="T29" s="59">
        <f t="shared" si="34"/>
        <v>746.97309214631684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181.59999999999994</v>
      </c>
      <c r="AJ29" s="13">
        <f>AI29*VLOOKUP('Données projet'!$B$10,Paramètres!$A$1:$I$89,3,0)*VLOOKUP('Données projet'!$B$10,Paramètres!$A$1:$I$89,5,0)</f>
        <v>84.988799999999969</v>
      </c>
      <c r="AK29" s="13">
        <f t="shared" si="35"/>
        <v>23.352644097155146</v>
      </c>
      <c r="AL29" s="20">
        <f t="shared" si="4"/>
        <v>188.69468180254515</v>
      </c>
      <c r="AM29" s="59">
        <f t="shared" si="5"/>
        <v>482.02801513587849</v>
      </c>
      <c r="AN29" s="59">
        <f ca="1">AVERAGE(OFFSET($AM$3,0,0,'Données projet'!$E$10+1,1))-AVERAGE(OFFSET($H$3,0,0,'Données projet'!$E$10+1,1))</f>
        <v>259.91478350500478</v>
      </c>
      <c r="AO29" s="59">
        <f t="shared" si="36"/>
        <v>192.27194887051007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5.0962585318121274</v>
      </c>
      <c r="AW29" s="21">
        <f>EXP(-LN(2)/2)*AW28+(1-EXP(-LN(2)/2))/(LN(2)/2)*AQ29*AT29*VLOOKUP('Données projet'!$B$10,Paramètres!$A$1:$I$89,3,0)*0.475*44/12</f>
        <v>0.92093963509126742</v>
      </c>
      <c r="AX29" s="21">
        <f t="shared" si="6"/>
        <v>6.0171981669033947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17.600000000000001</v>
      </c>
      <c r="BD29" s="12">
        <f>IF('Données projet'!$A$88&gt;35,BD28+BC29-BL28,IF(A29&lt;'Données projet'!$A$88,$BA$205^A29,IF(A29='Données projet'!$A$88,'Données projet'!$B$88,BD28+BC29-BL28)))</f>
        <v>185.60000000000002</v>
      </c>
      <c r="BE29" s="13">
        <f>BD29*VLOOKUP('Données projet'!$B$11,Paramètres!$A$1:$I$89,3,0)*VLOOKUP('Données projet'!$B$11,Paramètres!$A$1:$I$89,5,0)</f>
        <v>110.98880000000003</v>
      </c>
      <c r="BF29" s="13">
        <f t="shared" si="37"/>
        <v>29.56383208945169</v>
      </c>
      <c r="BG29" s="20">
        <f t="shared" si="7"/>
        <v>244.79583422246174</v>
      </c>
      <c r="BH29" s="59">
        <f t="shared" si="8"/>
        <v>538.12916755579499</v>
      </c>
      <c r="BI29" s="59">
        <f ca="1">AVERAGE(OFFSET($BH$3,0,0,'Données projet'!$E$11+1,1))-AVERAGE(OFFSET($H$3,0,0,'Données projet'!$E$11+1,1))</f>
        <v>284.60021367910457</v>
      </c>
      <c r="BJ29" s="59">
        <f t="shared" si="38"/>
        <v>301.41905904220812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12.147783492641704</v>
      </c>
      <c r="BQ29" s="21">
        <f>EXP(-LN(2)/25)*BQ28+(1-EXP(-LN(2)/25))/(LN(2)/25)*Calculateur!BL29*Calculateur!BN29*VLOOKUP('Données projet'!$B$11,Paramètres!$A$1:$I$89,3,0)*0.475*44/12</f>
        <v>5.1776389399585421</v>
      </c>
      <c r="BR29" s="21">
        <f>EXP(-LN(2)/2)*BR28+(1-EXP(-LN(2)/2))/(LN(2)/2)*BL29*BO29*VLOOKUP('Données projet'!$B$11,Paramètres!$A$1:$I$89,3,0)*0.475*44/12</f>
        <v>2.6401540774832526</v>
      </c>
      <c r="BS29" s="22">
        <f t="shared" si="9"/>
        <v>19.965576510083498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33</v>
      </c>
      <c r="BY29" s="12">
        <f>IF('Données projet'!$A$114&gt;35,BY28+BX29-CG28,IF(A29&lt;'Données projet'!$A$114,$BV$205^A29,IF(A29='Données projet'!$A$114,'Données projet'!$B$114,BY28+BX29-CG28)))</f>
        <v>392</v>
      </c>
      <c r="BZ29" s="13">
        <f>BY29*VLOOKUP('Données projet'!$B$12,Paramètres!$A$1:$I$89,3,0)*VLOOKUP('Données projet'!$B$12,Paramètres!$A$1:$I$89,5,0)</f>
        <v>219.12800000000001</v>
      </c>
      <c r="CA29" s="13">
        <f t="shared" si="39"/>
        <v>53.925317044064428</v>
      </c>
      <c r="CB29" s="20">
        <f t="shared" si="10"/>
        <v>475.56786051841215</v>
      </c>
      <c r="CC29" s="59">
        <f t="shared" si="11"/>
        <v>768.90119385174546</v>
      </c>
      <c r="CD29" s="59">
        <f ca="1">AVERAGE(OFFSET($CC$3,0,0,'Données projet'!$E$12+1,1))-AVERAGE(OFFSET($H$3,0,0,'Données projet'!$E$12+1,1))</f>
        <v>490.96084572840579</v>
      </c>
      <c r="CE29" s="59">
        <f t="shared" si="40"/>
        <v>597.91658789908263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16.793889341376197</v>
      </c>
      <c r="CL29" s="21">
        <f>EXP(-LN(2)/25)*CL28+(1-EXP(-LN(2)/25))/(LN(2)/25)*Calculateur!CG29*Calculateur!CI29*VLOOKUP('Données projet'!$B$12,Paramètres!$A$1:$I$89,3,0)*0.475*44/12</f>
        <v>12.26619848842382</v>
      </c>
      <c r="CM29" s="21">
        <f>EXP(-LN(2)/2)*CM28+(1-EXP(-LN(2)/2))/(LN(2)/2)*CG29*CJ29*VLOOKUP('Données projet'!$B$12,Paramètres!$A$1:$I$89,3,0)*0.475*44/12</f>
        <v>5.041371538697045</v>
      </c>
      <c r="CN29" s="22">
        <f t="shared" si="12"/>
        <v>34.101459368497061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26.666666666666668</v>
      </c>
      <c r="N30" s="13">
        <f>IF('Données projet'!$A$36&gt;35,N29+M30-V29,IF(A30&lt;'Données projet'!$A$36,$K$205^A30,IF(A30='Données projet'!$A$36,'Données projet'!$B$36,N29+M30-V29)))</f>
        <v>502.99999999999994</v>
      </c>
      <c r="O30" s="13">
        <f>N30*VLOOKUP('Données projet'!$B$9,Paramètres!$A$1:$I$89,3,0)*VLOOKUP('Données projet'!$B$9,Paramètres!$A$1:$I$89,5,0)</f>
        <v>313.87199999999996</v>
      </c>
      <c r="P30" s="13">
        <f t="shared" si="33"/>
        <v>74.076872774720357</v>
      </c>
      <c r="Q30" s="20">
        <f t="shared" si="2"/>
        <v>675.67762008263787</v>
      </c>
      <c r="R30" s="59">
        <f t="shared" si="0"/>
        <v>969.01095341597124</v>
      </c>
      <c r="S30" s="59">
        <f ca="1">AVERAGE(OFFSET($R$3,0,0,'Données projet'!$E$9+1,1))-AVERAGE(OFFSET($H$3,0,0,'Données projet'!$E$9+1,1))</f>
        <v>482.28841373508675</v>
      </c>
      <c r="T30" s="59">
        <f t="shared" si="34"/>
        <v>746.97309214631684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190.79999999999993</v>
      </c>
      <c r="AJ30" s="13">
        <f>AI30*VLOOKUP('Données projet'!$B$10,Paramètres!$A$1:$I$89,3,0)*VLOOKUP('Données projet'!$B$10,Paramètres!$A$1:$I$89,5,0)</f>
        <v>89.294399999999968</v>
      </c>
      <c r="AK30" s="13">
        <f t="shared" si="35"/>
        <v>24.394973389005663</v>
      </c>
      <c r="AL30" s="20">
        <f t="shared" si="4"/>
        <v>198.00899198585145</v>
      </c>
      <c r="AM30" s="59">
        <f t="shared" si="5"/>
        <v>491.34232531918474</v>
      </c>
      <c r="AN30" s="59">
        <f ca="1">AVERAGE(OFFSET($AM$3,0,0,'Données projet'!$E$10+1,1))-AVERAGE(OFFSET($H$3,0,0,'Données projet'!$E$10+1,1))</f>
        <v>259.91478350500478</v>
      </c>
      <c r="AO30" s="59">
        <f t="shared" si="36"/>
        <v>192.27194887051007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4.956901074259136</v>
      </c>
      <c r="AW30" s="21">
        <f>EXP(-LN(2)/2)*AW29+(1-EXP(-LN(2)/2))/(LN(2)/2)*AQ30*AT30*VLOOKUP('Données projet'!$B$10,Paramètres!$A$1:$I$89,3,0)*0.475*44/12</f>
        <v>0.65120266103649982</v>
      </c>
      <c r="AX30" s="21">
        <f t="shared" si="6"/>
        <v>5.6081037352956358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17.600000000000001</v>
      </c>
      <c r="BD30" s="12">
        <f>IF('Données projet'!$A$88&gt;35,BD29+BC30-BL29,IF(A30&lt;'Données projet'!$A$88,$BA$205^A30,IF(A30='Données projet'!$A$88,'Données projet'!$B$88,BD29+BC30-BL29)))</f>
        <v>203.20000000000002</v>
      </c>
      <c r="BE30" s="13">
        <f>BD30*VLOOKUP('Données projet'!$B$11,Paramètres!$A$1:$I$89,3,0)*VLOOKUP('Données projet'!$B$11,Paramètres!$A$1:$I$89,5,0)</f>
        <v>121.51360000000001</v>
      </c>
      <c r="BF30" s="13">
        <f t="shared" si="37"/>
        <v>32.027763694063836</v>
      </c>
      <c r="BG30" s="20">
        <f t="shared" si="7"/>
        <v>267.41787510049454</v>
      </c>
      <c r="BH30" s="59">
        <f t="shared" si="8"/>
        <v>560.75120843382786</v>
      </c>
      <c r="BI30" s="59">
        <f ca="1">AVERAGE(OFFSET($BH$3,0,0,'Données projet'!$E$11+1,1))-AVERAGE(OFFSET($H$3,0,0,'Données projet'!$E$11+1,1))</f>
        <v>284.60021367910457</v>
      </c>
      <c r="BJ30" s="59">
        <f t="shared" si="38"/>
        <v>301.41905904220812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11.909572867767311</v>
      </c>
      <c r="BQ30" s="21">
        <f>EXP(-LN(2)/25)*BQ29+(1-EXP(-LN(2)/25))/(LN(2)/25)*Calculateur!BL30*Calculateur!BN30*VLOOKUP('Données projet'!$B$11,Paramètres!$A$1:$I$89,3,0)*0.475*44/12</f>
        <v>5.0360561308651777</v>
      </c>
      <c r="BR30" s="21">
        <f>EXP(-LN(2)/2)*BR29+(1-EXP(-LN(2)/2))/(LN(2)/2)*BL30*BO30*VLOOKUP('Données projet'!$B$11,Paramètres!$A$1:$I$89,3,0)*0.475*44/12</f>
        <v>1.8668708515657217</v>
      </c>
      <c r="BS30" s="22">
        <f t="shared" si="9"/>
        <v>18.812499850198211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33</v>
      </c>
      <c r="BY30" s="12">
        <f>IF('Données projet'!$A$114&gt;35,BY29+BX30-CG29,IF(A30&lt;'Données projet'!$A$114,$BV$205^A30,IF(A30='Données projet'!$A$114,'Données projet'!$B$114,BY29+BX30-CG29)))</f>
        <v>425</v>
      </c>
      <c r="BZ30" s="13">
        <f>BY30*VLOOKUP('Données projet'!$B$12,Paramètres!$A$1:$I$89,3,0)*VLOOKUP('Données projet'!$B$12,Paramètres!$A$1:$I$89,5,0)</f>
        <v>237.57500000000002</v>
      </c>
      <c r="CA30" s="13">
        <f t="shared" si="39"/>
        <v>57.917471937261162</v>
      </c>
      <c r="CB30" s="20">
        <f t="shared" si="10"/>
        <v>514.64938862406325</v>
      </c>
      <c r="CC30" s="59">
        <f t="shared" si="11"/>
        <v>807.98272195739651</v>
      </c>
      <c r="CD30" s="59">
        <f ca="1">AVERAGE(OFFSET($CC$3,0,0,'Données projet'!$E$12+1,1))-AVERAGE(OFFSET($H$3,0,0,'Données projet'!$E$12+1,1))</f>
        <v>490.96084572840579</v>
      </c>
      <c r="CE30" s="59">
        <f t="shared" si="40"/>
        <v>597.91658789908263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16.46457141465287</v>
      </c>
      <c r="CL30" s="21">
        <f>EXP(-LN(2)/25)*CL29+(1-EXP(-LN(2)/25))/(LN(2)/25)*Calculateur!CG30*Calculateur!CI30*VLOOKUP('Données projet'!$B$12,Paramètres!$A$1:$I$89,3,0)*0.475*44/12</f>
        <v>11.930778645706527</v>
      </c>
      <c r="CM30" s="21">
        <f>EXP(-LN(2)/2)*CM29+(1-EXP(-LN(2)/2))/(LN(2)/2)*CG30*CJ30*VLOOKUP('Données projet'!$B$12,Paramètres!$A$1:$I$89,3,0)*0.475*44/12</f>
        <v>3.56478800149354</v>
      </c>
      <c r="CN30" s="22">
        <f t="shared" si="12"/>
        <v>31.960138061852938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26.666666666666668</v>
      </c>
      <c r="N31" s="13">
        <f>IF('Données projet'!$A$36&gt;35,N30+M31-V30,IF(A31&lt;'Données projet'!$A$36,$K$205^A31,IF(A31='Données projet'!$A$36,'Données projet'!$B$36,N30+M31-V30)))</f>
        <v>529.66666666666663</v>
      </c>
      <c r="O31" s="13">
        <f>N31*VLOOKUP('Données projet'!$B$9,Paramètres!$A$1:$I$89,3,0)*VLOOKUP('Données projet'!$B$9,Paramètres!$A$1:$I$89,5,0)</f>
        <v>330.512</v>
      </c>
      <c r="P31" s="13">
        <f t="shared" si="33"/>
        <v>77.536448254992777</v>
      </c>
      <c r="Q31" s="20">
        <f t="shared" si="2"/>
        <v>710.68438071077901</v>
      </c>
      <c r="R31" s="59">
        <f t="shared" si="0"/>
        <v>1004.0177140441124</v>
      </c>
      <c r="S31" s="59">
        <f ca="1">AVERAGE(OFFSET($R$3,0,0,'Données projet'!$E$9+1,1))-AVERAGE(OFFSET($H$3,0,0,'Données projet'!$E$9+1,1))</f>
        <v>482.28841373508675</v>
      </c>
      <c r="T31" s="59">
        <f t="shared" si="34"/>
        <v>746.97309214631684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199.99999999999991</v>
      </c>
      <c r="AJ31" s="13">
        <f>AI31*VLOOKUP('Données projet'!$B$10,Paramètres!$A$1:$I$89,3,0)*VLOOKUP('Données projet'!$B$10,Paramètres!$A$1:$I$89,5,0)</f>
        <v>93.599999999999966</v>
      </c>
      <c r="AK31" s="13">
        <f t="shared" si="35"/>
        <v>25.431466524572915</v>
      </c>
      <c r="AL31" s="20">
        <f t="shared" si="4"/>
        <v>207.31313753029772</v>
      </c>
      <c r="AM31" s="59">
        <f t="shared" si="5"/>
        <v>500.64647086363107</v>
      </c>
      <c r="AN31" s="59">
        <f ca="1">AVERAGE(OFFSET($AM$3,0,0,'Données projet'!$E$10+1,1))-AVERAGE(OFFSET($H$3,0,0,'Données projet'!$E$10+1,1))</f>
        <v>259.91478350500478</v>
      </c>
      <c r="AO31" s="59">
        <f t="shared" si="36"/>
        <v>192.27194887051007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4.8213543537114214</v>
      </c>
      <c r="AW31" s="21">
        <f>EXP(-LN(2)/2)*AW30+(1-EXP(-LN(2)/2))/(LN(2)/2)*AQ31*AT31*VLOOKUP('Données projet'!$B$10,Paramètres!$A$1:$I$89,3,0)*0.475*44/12</f>
        <v>0.46046981754563376</v>
      </c>
      <c r="AX31" s="21">
        <f t="shared" si="6"/>
        <v>5.2818241712570551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17.600000000000001</v>
      </c>
      <c r="BD31" s="12">
        <f>IF('Données projet'!$A$88&gt;35,BD30+BC31-BL30,IF(A31&lt;'Données projet'!$A$88,$BA$205^A31,IF(A31='Données projet'!$A$88,'Données projet'!$B$88,BD30+BC31-BL30)))</f>
        <v>220.8</v>
      </c>
      <c r="BE31" s="13">
        <f>BD31*VLOOKUP('Données projet'!$B$11,Paramètres!$A$1:$I$89,3,0)*VLOOKUP('Données projet'!$B$11,Paramètres!$A$1:$I$89,5,0)</f>
        <v>132.03840000000002</v>
      </c>
      <c r="BF31" s="13">
        <f t="shared" si="37"/>
        <v>34.466946374534373</v>
      </c>
      <c r="BG31" s="20">
        <f t="shared" si="7"/>
        <v>289.99681160231404</v>
      </c>
      <c r="BH31" s="59">
        <f t="shared" si="8"/>
        <v>583.33014493564735</v>
      </c>
      <c r="BI31" s="59">
        <f ca="1">AVERAGE(OFFSET($BH$3,0,0,'Données projet'!$E$11+1,1))-AVERAGE(OFFSET($H$3,0,0,'Données projet'!$E$11+1,1))</f>
        <v>284.60021367910457</v>
      </c>
      <c r="BJ31" s="59">
        <f t="shared" si="38"/>
        <v>301.41905904220812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11.676033407952572</v>
      </c>
      <c r="BQ31" s="21">
        <f>EXP(-LN(2)/25)*BQ30+(1-EXP(-LN(2)/25))/(LN(2)/25)*Calculateur!BL31*Calculateur!BN31*VLOOKUP('Données projet'!$B$11,Paramètres!$A$1:$I$89,3,0)*0.475*44/12</f>
        <v>4.8983449111319874</v>
      </c>
      <c r="BR31" s="21">
        <f>EXP(-LN(2)/2)*BR30+(1-EXP(-LN(2)/2))/(LN(2)/2)*BL31*BO31*VLOOKUP('Données projet'!$B$11,Paramètres!$A$1:$I$89,3,0)*0.475*44/12</f>
        <v>1.3200770387416265</v>
      </c>
      <c r="BS31" s="22">
        <f t="shared" si="9"/>
        <v>17.894455357826185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33</v>
      </c>
      <c r="BY31" s="12">
        <f>IF('Données projet'!$A$114&gt;35,BY30+BX31-CG30,IF(A31&lt;'Données projet'!$A$114,$BV$205^A31,IF(A31='Données projet'!$A$114,'Données projet'!$B$114,BY30+BX31-CG30)))</f>
        <v>458</v>
      </c>
      <c r="BZ31" s="13">
        <f>BY31*VLOOKUP('Données projet'!$B$12,Paramètres!$A$1:$I$89,3,0)*VLOOKUP('Données projet'!$B$12,Paramètres!$A$1:$I$89,5,0)</f>
        <v>256.02199999999999</v>
      </c>
      <c r="CA31" s="13">
        <f t="shared" si="39"/>
        <v>61.873669712051253</v>
      </c>
      <c r="CB31" s="20">
        <f t="shared" si="10"/>
        <v>553.66829141515586</v>
      </c>
      <c r="CC31" s="59">
        <f t="shared" si="11"/>
        <v>847.00162474848912</v>
      </c>
      <c r="CD31" s="59">
        <f ca="1">AVERAGE(OFFSET($CC$3,0,0,'Données projet'!$E$12+1,1))-AVERAGE(OFFSET($H$3,0,0,'Données projet'!$E$12+1,1))</f>
        <v>490.96084572840579</v>
      </c>
      <c r="CE31" s="59">
        <f t="shared" si="40"/>
        <v>597.91658789908263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16.141711211608484</v>
      </c>
      <c r="CL31" s="21">
        <f>EXP(-LN(2)/25)*CL30+(1-EXP(-LN(2)/25))/(LN(2)/25)*Calculateur!CG31*Calculateur!CI31*VLOOKUP('Données projet'!$B$12,Paramètres!$A$1:$I$89,3,0)*0.475*44/12</f>
        <v>11.604530876227301</v>
      </c>
      <c r="CM31" s="21">
        <f>EXP(-LN(2)/2)*CM30+(1-EXP(-LN(2)/2))/(LN(2)/2)*CG31*CJ31*VLOOKUP('Données projet'!$B$12,Paramètres!$A$1:$I$89,3,0)*0.475*44/12</f>
        <v>2.520685769348523</v>
      </c>
      <c r="CN31" s="22">
        <f t="shared" si="12"/>
        <v>30.266927857184307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26.666666666666668</v>
      </c>
      <c r="N32" s="13">
        <f>IF('Données projet'!$A$36&gt;35,N31+M32-V31,IF(A32&lt;'Données projet'!$A$36,$K$205^A32,IF(A32='Données projet'!$A$36,'Données projet'!$B$36,N31+M32-V31)))</f>
        <v>556.33333333333326</v>
      </c>
      <c r="O32" s="13">
        <f>N32*VLOOKUP('Données projet'!$B$9,Paramètres!$A$1:$I$89,3,0)*VLOOKUP('Données projet'!$B$9,Paramètres!$A$1:$I$89,5,0)</f>
        <v>347.15199999999999</v>
      </c>
      <c r="P32" s="13">
        <f t="shared" si="33"/>
        <v>80.975799891655086</v>
      </c>
      <c r="Q32" s="20">
        <f t="shared" si="2"/>
        <v>745.65591814463266</v>
      </c>
      <c r="R32" s="59">
        <f t="shared" si="0"/>
        <v>1038.989251477966</v>
      </c>
      <c r="S32" s="59">
        <f ca="1">AVERAGE(OFFSET($R$3,0,0,'Données projet'!$E$9+1,1))-AVERAGE(OFFSET($H$3,0,0,'Données projet'!$E$9+1,1))</f>
        <v>482.28841373508675</v>
      </c>
      <c r="T32" s="59">
        <f t="shared" si="34"/>
        <v>746.97309214631684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209.1999999999999</v>
      </c>
      <c r="AJ32" s="13">
        <f>AI32*VLOOKUP('Données projet'!$B$10,Paramètres!$A$1:$I$89,3,0)*VLOOKUP('Données projet'!$B$10,Paramètres!$A$1:$I$89,5,0)</f>
        <v>97.905599999999964</v>
      </c>
      <c r="AK32" s="13">
        <f t="shared" si="35"/>
        <v>26.462422630828478</v>
      </c>
      <c r="AL32" s="20">
        <f t="shared" si="4"/>
        <v>216.60763941535956</v>
      </c>
      <c r="AM32" s="59">
        <f t="shared" si="5"/>
        <v>509.94097274869284</v>
      </c>
      <c r="AN32" s="59">
        <f ca="1">AVERAGE(OFFSET($AM$3,0,0,'Données projet'!$E$10+1,1))-AVERAGE(OFFSET($H$3,0,0,'Données projet'!$E$10+1,1))</f>
        <v>259.91478350500478</v>
      </c>
      <c r="AO32" s="59">
        <f t="shared" si="36"/>
        <v>192.27194887051007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4.6895141653651766</v>
      </c>
      <c r="AW32" s="21">
        <f>EXP(-LN(2)/2)*AW31+(1-EXP(-LN(2)/2))/(LN(2)/2)*AQ32*AT32*VLOOKUP('Données projet'!$B$10,Paramètres!$A$1:$I$89,3,0)*0.475*44/12</f>
        <v>0.32560133051824997</v>
      </c>
      <c r="AX32" s="21">
        <f t="shared" si="6"/>
        <v>5.0151154958834265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17.600000000000001</v>
      </c>
      <c r="BD32" s="12">
        <f>IF('Données projet'!$A$88&gt;35,BD31+BC32-BL31,IF(A32&lt;'Données projet'!$A$88,$BA$205^A32,IF(A32='Données projet'!$A$88,'Données projet'!$B$88,BD31+BC32-BL31)))</f>
        <v>238.4</v>
      </c>
      <c r="BE32" s="13">
        <f>BD32*VLOOKUP('Données projet'!$B$11,Paramètres!$A$1:$I$89,3,0)*VLOOKUP('Données projet'!$B$11,Paramètres!$A$1:$I$89,5,0)</f>
        <v>142.56319999999999</v>
      </c>
      <c r="BF32" s="13">
        <f t="shared" si="37"/>
        <v>36.883577154665602</v>
      </c>
      <c r="BG32" s="20">
        <f t="shared" si="7"/>
        <v>312.53647021104257</v>
      </c>
      <c r="BH32" s="59">
        <f t="shared" si="8"/>
        <v>605.86980354437583</v>
      </c>
      <c r="BI32" s="59">
        <f ca="1">AVERAGE(OFFSET($BH$3,0,0,'Données projet'!$E$11+1,1))-AVERAGE(OFFSET($H$3,0,0,'Données projet'!$E$11+1,1))</f>
        <v>284.60021367910457</v>
      </c>
      <c r="BJ32" s="59">
        <f t="shared" si="38"/>
        <v>301.41905904220812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11.447073514499793</v>
      </c>
      <c r="BQ32" s="21">
        <f>EXP(-LN(2)/25)*BQ31+(1-EXP(-LN(2)/25))/(LN(2)/25)*Calculateur!BL32*Calculateur!BN32*VLOOKUP('Données projet'!$B$11,Paramètres!$A$1:$I$89,3,0)*0.475*44/12</f>
        <v>4.7643994119443196</v>
      </c>
      <c r="BR32" s="21">
        <f>EXP(-LN(2)/2)*BR31+(1-EXP(-LN(2)/2))/(LN(2)/2)*BL32*BO32*VLOOKUP('Données projet'!$B$11,Paramètres!$A$1:$I$89,3,0)*0.475*44/12</f>
        <v>0.93343542578286098</v>
      </c>
      <c r="BS32" s="22">
        <f t="shared" si="9"/>
        <v>17.144908352226974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33</v>
      </c>
      <c r="BY32" s="12">
        <f>IF('Données projet'!$A$114&gt;35,BY31+BX32-CG31,IF(A32&lt;'Données projet'!$A$114,$BV$205^A32,IF(A32='Données projet'!$A$114,'Données projet'!$B$114,BY31+BX32-CG31)))</f>
        <v>491</v>
      </c>
      <c r="BZ32" s="13">
        <f>BY32*VLOOKUP('Données projet'!$B$12,Paramètres!$A$1:$I$89,3,0)*VLOOKUP('Données projet'!$B$12,Paramètres!$A$1:$I$89,5,0)</f>
        <v>274.46899999999999</v>
      </c>
      <c r="CA32" s="13">
        <f t="shared" si="39"/>
        <v>65.796795812732981</v>
      </c>
      <c r="CB32" s="20">
        <f t="shared" si="10"/>
        <v>592.62959437384313</v>
      </c>
      <c r="CC32" s="59">
        <f t="shared" si="11"/>
        <v>885.9629277071765</v>
      </c>
      <c r="CD32" s="59">
        <f ca="1">AVERAGE(OFFSET($CC$3,0,0,'Données projet'!$E$12+1,1))-AVERAGE(OFFSET($H$3,0,0,'Données projet'!$E$12+1,1))</f>
        <v>490.96084572840579</v>
      </c>
      <c r="CE32" s="59">
        <f t="shared" si="40"/>
        <v>597.91658789908263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15.825182100220522</v>
      </c>
      <c r="CL32" s="21">
        <f>EXP(-LN(2)/25)*CL31+(1-EXP(-LN(2)/25))/(LN(2)/25)*Calculateur!CG32*Calculateur!CI32*VLOOKUP('Données projet'!$B$12,Paramètres!$A$1:$I$89,3,0)*0.475*44/12</f>
        <v>11.28720436916111</v>
      </c>
      <c r="CM32" s="21">
        <f>EXP(-LN(2)/2)*CM31+(1-EXP(-LN(2)/2))/(LN(2)/2)*CG32*CJ32*VLOOKUP('Données projet'!$B$12,Paramètres!$A$1:$I$89,3,0)*0.475*44/12</f>
        <v>1.7823940007467702</v>
      </c>
      <c r="CN32" s="22">
        <f t="shared" si="12"/>
        <v>28.894780470128403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583</v>
      </c>
      <c r="L33" s="12">
        <f>VLOOKUP(A33,'Données projet'!$A$35:$I$55,9,0)</f>
        <v>26.666666666666668</v>
      </c>
      <c r="M33" s="12">
        <f t="array" ref="M33">INDEX(L:L,MIN(IF(ISNUMBER(L33:L229),ROW(L33:L229),"")))</f>
        <v>26.666666666666668</v>
      </c>
      <c r="N33" s="13">
        <f>IF('Données projet'!$A$36&gt;35,N32+M33-V32,IF(A33&lt;'Données projet'!$A$36,$K$205^A33,IF(A33='Données projet'!$A$36,'Données projet'!$B$36,N32+M33-V32)))</f>
        <v>582.99999999999989</v>
      </c>
      <c r="O33" s="13">
        <f>N33*VLOOKUP('Données projet'!$B$9,Paramètres!$A$1:$I$89,3,0)*VLOOKUP('Données projet'!$B$9,Paramètres!$A$1:$I$89,5,0)</f>
        <v>363.79199999999992</v>
      </c>
      <c r="P33" s="13">
        <f t="shared" si="33"/>
        <v>84.396007741478613</v>
      </c>
      <c r="Q33" s="20">
        <f t="shared" si="2"/>
        <v>780.59411348307503</v>
      </c>
      <c r="R33" s="59">
        <f t="shared" si="0"/>
        <v>1073.9274468164083</v>
      </c>
      <c r="S33" s="59">
        <f ca="1">AVERAGE(OFFSET($R$3,0,0,'Données projet'!$E$9+1,1))-AVERAGE(OFFSET($H$3,0,0,'Données projet'!$E$9+1,1))</f>
        <v>482.28841373508675</v>
      </c>
      <c r="T33" s="59">
        <f t="shared" si="34"/>
        <v>746.97309214631684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107</v>
      </c>
      <c r="W33" s="16">
        <f>IF(ISNA(VLOOKUP(A33,'Données projet'!$A$35:$I$55,5,0)),0%,VLOOKUP(A33,'Données projet'!$A$35:$I$55,5,0)*VLOOKUP('Données projet'!$B$9,Paramètres!$A$1:$I$89,7,0))</f>
        <v>0.42</v>
      </c>
      <c r="X33" s="16">
        <f>IF(ISNA(VLOOKUP(A33,'Données projet'!$A$35:$I$55,6,0)),0%,VLOOKUP(A33,'Données projet'!$A$35:$I$55,6,0)*VLOOKUP('Données projet'!$B$9,Paramètres!$A$1:$I$89,7,0))</f>
        <v>0.1008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37.200263335530629</v>
      </c>
      <c r="AA33" s="21">
        <f>EXP(-LN(2)/25)*AA32+(1-EXP(-LN(2)/25))/(LN(2)/25)*Calculateur!V33*Calculateur!X33*VLOOKUP('Données projet'!$B$9,Paramètres!$A$1:$I$89,3,0)*0.475*44/12</f>
        <v>8.8929100138480948</v>
      </c>
      <c r="AB33" s="21">
        <f>EXP(-LN(2)/2)*AB32+(1-EXP(-LN(2)/2))/(LN(2)/2)*V33*Y33*VLOOKUP('Données projet'!$B$9,Paramètres!$A$1:$I$89,3,0)*0.475*44/12</f>
        <v>9.978788957444614</v>
      </c>
      <c r="AC33" s="22">
        <f t="shared" si="3"/>
        <v>56.071962306823337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218.4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218.39999999999989</v>
      </c>
      <c r="AJ33" s="13">
        <f>AI33*VLOOKUP('Données projet'!$B$10,Paramètres!$A$1:$I$89,3,0)*VLOOKUP('Données projet'!$B$10,Paramètres!$A$1:$I$89,5,0)</f>
        <v>102.21119999999995</v>
      </c>
      <c r="AK33" s="13">
        <f t="shared" si="35"/>
        <v>27.488113037666018</v>
      </c>
      <c r="AL33" s="20">
        <f t="shared" si="4"/>
        <v>225.89297020726823</v>
      </c>
      <c r="AM33" s="59">
        <f t="shared" si="5"/>
        <v>519.22630354060152</v>
      </c>
      <c r="AN33" s="59">
        <f ca="1">AVERAGE(OFFSET($AM$3,0,0,'Données projet'!$E$10+1,1))-AVERAGE(OFFSET($H$3,0,0,'Données projet'!$E$10+1,1))</f>
        <v>259.91478350500478</v>
      </c>
      <c r="AO33" s="59">
        <f t="shared" si="36"/>
        <v>192.27194887051007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43.680000000000007</v>
      </c>
      <c r="AR33" s="16">
        <f>IF(ISNA(VLOOKUP(A33,'Données projet'!$A$61:$I$81,5,0)),0%,VLOOKUP(A33,'Données projet'!$A$61:$I$81,5,0)*VLOOKUP('Données projet'!$B$10,Paramètres!$A$1:$I$89,7,0))</f>
        <v>0.38500000000000001</v>
      </c>
      <c r="AS33" s="16">
        <f>IF(ISNA(VLOOKUP(A33,'Données projet'!$A$61:$I$81,6,0)),0%,VLOOKUP(A33,'Données projet'!$A$61:$I$81,6,0)*VLOOKUP('Données projet'!$B$10,Paramètres!$A$1:$I$89,7,0))</f>
        <v>9.240000000000001E-2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10.440410354822289</v>
      </c>
      <c r="AV33" s="21">
        <f>EXP(-LN(2)/25)*AV32+(1-EXP(-LN(2)/25))/(LN(2)/25)*Calculateur!AQ33*Calculateur!AS33*VLOOKUP('Données projet'!$B$10,Paramètres!$A$1:$I$89,3,0)*0.475*44/12</f>
        <v>7.0571117493777455</v>
      </c>
      <c r="AW33" s="21">
        <f>EXP(-LN(2)/2)*AW32+(1-EXP(-LN(2)/2))/(LN(2)/2)*AQ33*AT33*VLOOKUP('Données projet'!$B$10,Paramètres!$A$1:$I$89,3,0)*0.475*44/12</f>
        <v>3.2854230045287567</v>
      </c>
      <c r="AX33" s="21">
        <f t="shared" si="6"/>
        <v>20.782945108728789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256</v>
      </c>
      <c r="BB33" s="12">
        <f>VLOOKUP(A33,'Données projet'!$A$87:$I$107,9,0)</f>
        <v>17.600000000000001</v>
      </c>
      <c r="BC33" s="12">
        <f t="array" ref="BC33">INDEX(BB:BB,MIN(IF(ISNUMBER(BB33:BB229),ROW(BB33:BB229),"")))</f>
        <v>17.600000000000001</v>
      </c>
      <c r="BD33" s="12">
        <f>IF('Données projet'!$A$88&gt;35,BD32+BC33-BL32,IF(A33&lt;'Données projet'!$A$88,$BA$205^A33,IF(A33='Données projet'!$A$88,'Données projet'!$B$88,BD32+BC33-BL32)))</f>
        <v>256</v>
      </c>
      <c r="BE33" s="13">
        <f>BD33*VLOOKUP('Données projet'!$B$11,Paramètres!$A$1:$I$89,3,0)*VLOOKUP('Données projet'!$B$11,Paramètres!$A$1:$I$89,5,0)</f>
        <v>153.08800000000002</v>
      </c>
      <c r="BF33" s="13">
        <f t="shared" si="37"/>
        <v>39.27951026543515</v>
      </c>
      <c r="BG33" s="20">
        <f t="shared" si="7"/>
        <v>335.04008037896625</v>
      </c>
      <c r="BH33" s="59">
        <f t="shared" si="8"/>
        <v>628.37341371229957</v>
      </c>
      <c r="BI33" s="59">
        <f ca="1">AVERAGE(OFFSET($BH$3,0,0,'Données projet'!$E$11+1,1))-AVERAGE(OFFSET($H$3,0,0,'Données projet'!$E$11+1,1))</f>
        <v>284.60021367910457</v>
      </c>
      <c r="BJ33" s="59">
        <f t="shared" si="38"/>
        <v>301.41905904220812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54</v>
      </c>
      <c r="BM33" s="16">
        <f>IF(ISNA(VLOOKUP(A33,'Données projet'!$A$87:$I$107,5,0)),0%,VLOOKUP(A33,'Données projet'!$A$87:$I$107,5,0)*VLOOKUP('Données projet'!$B$11,Paramètres!$A$1:$I$89,7,0))</f>
        <v>0.315</v>
      </c>
      <c r="BN33" s="16">
        <f>IF(ISNA(VLOOKUP(A33,'Données projet'!$A$87:$I$107,6,0)),0%,VLOOKUP(A33,'Données projet'!$A$87:$I$107,6,0)*VLOOKUP('Données projet'!$B$11,Paramètres!$A$1:$I$89,7,0))</f>
        <v>7.5600000000000001E-2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24.71639049434777</v>
      </c>
      <c r="BQ33" s="21">
        <f>EXP(-LN(2)/25)*BQ32+(1-EXP(-LN(2)/25))/(LN(2)/25)*Calculateur!BL33*Calculateur!BN33*VLOOKUP('Données projet'!$B$11,Paramètres!$A$1:$I$89,3,0)*0.475*44/12</f>
        <v>7.8598743222092766</v>
      </c>
      <c r="BR33" s="21">
        <f>EXP(-LN(2)/2)*BR32+(1-EXP(-LN(2)/2))/(LN(2)/2)*BL33*BO33*VLOOKUP('Données projet'!$B$11,Paramètres!$A$1:$I$89,3,0)*0.475*44/12</f>
        <v>5.4862285057984659</v>
      </c>
      <c r="BS33" s="22">
        <f t="shared" si="9"/>
        <v>38.062493322355515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524</v>
      </c>
      <c r="BW33" s="12">
        <f>VLOOKUP(A33,'Données projet'!$A$113:$I$133,9,0)</f>
        <v>33</v>
      </c>
      <c r="BX33" s="12">
        <f t="array" ref="BX33">INDEX(BW:BW,MIN(IF(ISNUMBER(BW33:BW229),ROW(BW33:BW229),"")))</f>
        <v>33</v>
      </c>
      <c r="BY33" s="12">
        <f>IF('Données projet'!$A$114&gt;35,BY32+BX33-CG32,IF(A33&lt;'Données projet'!$A$114,$BV$205^A33,IF(A33='Données projet'!$A$114,'Données projet'!$B$114,BY32+BX33-CG32)))</f>
        <v>524</v>
      </c>
      <c r="BZ33" s="13">
        <f>BY33*VLOOKUP('Données projet'!$B$12,Paramètres!$A$1:$I$89,3,0)*VLOOKUP('Données projet'!$B$12,Paramètres!$A$1:$I$89,5,0)</f>
        <v>292.916</v>
      </c>
      <c r="CA33" s="13">
        <f t="shared" si="39"/>
        <v>69.68932587703776</v>
      </c>
      <c r="CB33" s="20">
        <f t="shared" si="10"/>
        <v>631.53760923584082</v>
      </c>
      <c r="CC33" s="59">
        <f t="shared" si="11"/>
        <v>924.87094256917408</v>
      </c>
      <c r="CD33" s="59">
        <f ca="1">AVERAGE(OFFSET($CC$3,0,0,'Données projet'!$E$12+1,1))-AVERAGE(OFFSET($H$3,0,0,'Données projet'!$E$12+1,1))</f>
        <v>490.96084572840579</v>
      </c>
      <c r="CE33" s="59">
        <f t="shared" si="40"/>
        <v>597.91658789908263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90</v>
      </c>
      <c r="CH33" s="16">
        <f>IF(ISNA(VLOOKUP(A33,'Données projet'!$A$113:$I$133,5,0)),0%,VLOOKUP(A33,'Données projet'!$A$113:$I$133,5,0)*VLOOKUP('Données projet'!$B$12,Paramètres!$A$1:$I$89,7,0))</f>
        <v>0.38500000000000001</v>
      </c>
      <c r="CI33" s="16">
        <f>IF(ISNA(VLOOKUP(A33,'Données projet'!$A$113:$I$133,6,0)),0%,VLOOKUP(A33,'Données projet'!$A$113:$I$133,6,0)*VLOOKUP('Données projet'!$B$12,Paramètres!$A$1:$I$89,7,0))</f>
        <v>9.240000000000001E-2</v>
      </c>
      <c r="CJ33" s="16">
        <f>IF(ISNA(VLOOKUP(A33,'Données projet'!$A$113:$I$133,7,0)),0%,VLOOKUP(A33,'Données projet'!$A$113:$I$133,7,0))</f>
        <v>0.13200000000000001</v>
      </c>
      <c r="CK33" s="21">
        <f>EXP(-LN(2)/35)*CK32+(1-EXP(-LN(2)/35))/(LN(2)/35)*CG33*CH33*VLOOKUP('Données projet'!$B$12,Paramètres!$A$1:$I$89,3,0)*0.475*44/12</f>
        <v>41.209551166611043</v>
      </c>
      <c r="CL33" s="21">
        <f>EXP(-LN(2)/25)*CL32+(1-EXP(-LN(2)/25))/(LN(2)/25)*Calculateur!CG33*Calculateur!CI33*VLOOKUP('Données projet'!$B$12,Paramètres!$A$1:$I$89,3,0)*0.475*44/12</f>
        <v>17.121000318949527</v>
      </c>
      <c r="CM33" s="21">
        <f>EXP(-LN(2)/2)*CM32+(1-EXP(-LN(2)/2))/(LN(2)/2)*CG33*CJ33*VLOOKUP('Données projet'!$B$12,Paramètres!$A$1:$I$89,3,0)*0.475*44/12</f>
        <v>8.7794069939637183</v>
      </c>
      <c r="CN33" s="22">
        <f t="shared" si="12"/>
        <v>67.109958479524295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24.166666666666668</v>
      </c>
      <c r="N34" s="13">
        <f>IF('Données projet'!$A$36&gt;35,N33+M34-V33,IF(A34&lt;'Données projet'!$A$36,$K$205^A34,IF(A34='Données projet'!$A$36,'Données projet'!$B$36,N33+M34-V33)))</f>
        <v>500.16666666666652</v>
      </c>
      <c r="O34" s="13">
        <f>N34*VLOOKUP('Données projet'!$B$9,Paramètres!$A$1:$I$89,3,0)*VLOOKUP('Données projet'!$B$9,Paramètres!$A$1:$I$89,5,0)</f>
        <v>312.10399999999993</v>
      </c>
      <c r="P34" s="13">
        <f t="shared" si="33"/>
        <v>73.708055983546572</v>
      </c>
      <c r="Q34" s="20">
        <f t="shared" si="2"/>
        <v>671.9559975046767</v>
      </c>
      <c r="R34" s="59">
        <f t="shared" si="0"/>
        <v>965.28933083801007</v>
      </c>
      <c r="S34" s="59">
        <f ca="1">AVERAGE(OFFSET($R$3,0,0,'Données projet'!$E$9+1,1))-AVERAGE(OFFSET($H$3,0,0,'Données projet'!$E$9+1,1))</f>
        <v>482.28841373508675</v>
      </c>
      <c r="T34" s="59">
        <f t="shared" si="34"/>
        <v>746.97309214631684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36.470788861441065</v>
      </c>
      <c r="AA34" s="21">
        <f>EXP(-LN(2)/25)*AA33+(1-EXP(-LN(2)/25))/(LN(2)/25)*Calculateur!V34*Calculateur!X34*VLOOKUP('Données projet'!$B$9,Paramètres!$A$1:$I$89,3,0)*0.475*44/12</f>
        <v>8.6497329218616059</v>
      </c>
      <c r="AB34" s="21">
        <f>EXP(-LN(2)/2)*AB33+(1-EXP(-LN(2)/2))/(LN(2)/2)*V34*Y34*VLOOKUP('Données projet'!$B$9,Paramètres!$A$1:$I$89,3,0)*0.475*44/12</f>
        <v>7.0560693398385261</v>
      </c>
      <c r="AC34" s="22">
        <f t="shared" si="3"/>
        <v>52.176591123141193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10.000000000000004</v>
      </c>
      <c r="AI34" s="13">
        <f>IF('Données projet'!$A$62&gt;35,AI33+AH34-AQ33,IF(A34&lt;'Données projet'!$A$62,$AF$205^A34,IF(A34='Données projet'!$A$62,'Données projet'!$B$62,AI33+AH34-AQ33)))</f>
        <v>184.71999999999989</v>
      </c>
      <c r="AJ34" s="13">
        <f>AI34*VLOOKUP('Données projet'!$B$10,Paramètres!$A$1:$I$89,3,0)*VLOOKUP('Données projet'!$B$10,Paramètres!$A$1:$I$89,5,0)</f>
        <v>86.448959999999957</v>
      </c>
      <c r="AK34" s="13">
        <f t="shared" si="35"/>
        <v>23.706803517624444</v>
      </c>
      <c r="AL34" s="20">
        <f t="shared" si="4"/>
        <v>191.85462145986244</v>
      </c>
      <c r="AM34" s="59">
        <f t="shared" si="5"/>
        <v>485.18795479319579</v>
      </c>
      <c r="AN34" s="59">
        <f ca="1">AVERAGE(OFFSET($AM$3,0,0,'Données projet'!$E$10+1,1))-AVERAGE(OFFSET($H$3,0,0,'Données projet'!$E$10+1,1))</f>
        <v>259.91478350500478</v>
      </c>
      <c r="AO34" s="59">
        <f t="shared" si="36"/>
        <v>192.27194887051007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10.23568027578575</v>
      </c>
      <c r="AV34" s="21">
        <f>EXP(-LN(2)/25)*AV33+(1-EXP(-LN(2)/25))/(LN(2)/25)*Calculateur!AQ34*Calculateur!AS34*VLOOKUP('Données projet'!$B$10,Paramètres!$A$1:$I$89,3,0)*0.475*44/12</f>
        <v>6.8641346574736337</v>
      </c>
      <c r="AW34" s="21">
        <f>EXP(-LN(2)/2)*AW33+(1-EXP(-LN(2)/2))/(LN(2)/2)*AQ34*AT34*VLOOKUP('Données projet'!$B$10,Paramètres!$A$1:$I$89,3,0)*0.475*44/12</f>
        <v>2.3231448855685652</v>
      </c>
      <c r="AX34" s="21">
        <f t="shared" si="6"/>
        <v>19.422959818827948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19.399999999999999</v>
      </c>
      <c r="BD34" s="12">
        <f>IF('Données projet'!$A$88&gt;35,BD33+BC34-BL33,IF(A34&lt;'Données projet'!$A$88,$BA$205^A34,IF(A34='Données projet'!$A$88,'Données projet'!$B$88,BD33+BC34-BL33)))</f>
        <v>221.39999999999998</v>
      </c>
      <c r="BE34" s="13">
        <f>BD34*VLOOKUP('Données projet'!$B$11,Paramètres!$A$1:$I$89,3,0)*VLOOKUP('Données projet'!$B$11,Paramètres!$A$1:$I$89,5,0)</f>
        <v>132.3972</v>
      </c>
      <c r="BF34" s="13">
        <f t="shared" si="37"/>
        <v>34.549691434742741</v>
      </c>
      <c r="BG34" s="20">
        <f t="shared" si="7"/>
        <v>290.76583591551019</v>
      </c>
      <c r="BH34" s="59">
        <f t="shared" si="8"/>
        <v>584.09916924884351</v>
      </c>
      <c r="BI34" s="59">
        <f ca="1">AVERAGE(OFFSET($BH$3,0,0,'Données projet'!$E$11+1,1))-AVERAGE(OFFSET($H$3,0,0,'Données projet'!$E$11+1,1))</f>
        <v>284.60021367910457</v>
      </c>
      <c r="BJ34" s="59">
        <f t="shared" si="38"/>
        <v>301.41905904220812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24.231717152263229</v>
      </c>
      <c r="BQ34" s="21">
        <f>EXP(-LN(2)/25)*BQ33+(1-EXP(-LN(2)/25))/(LN(2)/25)*Calculateur!BL34*Calculateur!BN34*VLOOKUP('Données projet'!$B$11,Paramètres!$A$1:$I$89,3,0)*0.475*44/12</f>
        <v>7.6449456455356373</v>
      </c>
      <c r="BR34" s="21">
        <f>EXP(-LN(2)/2)*BR33+(1-EXP(-LN(2)/2))/(LN(2)/2)*BL34*BO34*VLOOKUP('Données projet'!$B$11,Paramètres!$A$1:$I$89,3,0)*0.475*44/12</f>
        <v>3.8793493795890357</v>
      </c>
      <c r="BS34" s="22">
        <f t="shared" si="9"/>
        <v>35.756012177387902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28.4</v>
      </c>
      <c r="BY34" s="12">
        <f>IF('Données projet'!$A$114&gt;35,BY33+BX34-CG33,IF(A34&lt;'Données projet'!$A$114,$BV$205^A34,IF(A34='Données projet'!$A$114,'Données projet'!$B$114,BY33+BX34-CG33)))</f>
        <v>462.4</v>
      </c>
      <c r="BZ34" s="13">
        <f>BY34*VLOOKUP('Données projet'!$B$12,Paramètres!$A$1:$I$89,3,0)*VLOOKUP('Données projet'!$B$12,Paramètres!$A$1:$I$89,5,0)</f>
        <v>258.48160000000001</v>
      </c>
      <c r="CA34" s="13">
        <f t="shared" si="39"/>
        <v>62.398606187610767</v>
      </c>
      <c r="CB34" s="20">
        <f t="shared" si="10"/>
        <v>558.86635911008875</v>
      </c>
      <c r="CC34" s="59">
        <f t="shared" si="11"/>
        <v>852.19969244342201</v>
      </c>
      <c r="CD34" s="59">
        <f ca="1">AVERAGE(OFFSET($CC$3,0,0,'Données projet'!$E$12+1,1))-AVERAGE(OFFSET($H$3,0,0,'Données projet'!$E$12+1,1))</f>
        <v>490.96084572840579</v>
      </c>
      <c r="CE34" s="59">
        <f t="shared" si="40"/>
        <v>597.91658789908263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40.401457003578102</v>
      </c>
      <c r="CL34" s="21">
        <f>EXP(-LN(2)/25)*CL33+(1-EXP(-LN(2)/25))/(LN(2)/25)*Calculateur!CG34*Calculateur!CI34*VLOOKUP('Données projet'!$B$12,Paramètres!$A$1:$I$89,3,0)*0.475*44/12</f>
        <v>16.652825664873575</v>
      </c>
      <c r="CM34" s="21">
        <f>EXP(-LN(2)/2)*CM33+(1-EXP(-LN(2)/2))/(LN(2)/2)*CG34*CJ34*VLOOKUP('Données projet'!$B$12,Paramètres!$A$1:$I$89,3,0)*0.475*44/12</f>
        <v>6.2079782202283482</v>
      </c>
      <c r="CN34" s="22">
        <f t="shared" si="12"/>
        <v>63.262260888680025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24.166666666666668</v>
      </c>
      <c r="N35" s="13">
        <f>IF('Données projet'!$A$36&gt;35,N34+M35-V34,IF(A35&lt;'Données projet'!$A$36,$K$205^A35,IF(A35='Données projet'!$A$36,'Données projet'!$B$36,N34+M35-V34)))</f>
        <v>524.33333333333314</v>
      </c>
      <c r="O35" s="13">
        <f>N35*VLOOKUP('Données projet'!$B$9,Paramètres!$A$1:$I$89,3,0)*VLOOKUP('Données projet'!$B$9,Paramètres!$A$1:$I$89,5,0)</f>
        <v>327.18399999999986</v>
      </c>
      <c r="P35" s="13">
        <f t="shared" si="33"/>
        <v>76.846187648536301</v>
      </c>
      <c r="Q35" s="20">
        <f t="shared" ref="Q35:Q66" si="53">(O35+P35)*0.475*44/12</f>
        <v>703.68591015453387</v>
      </c>
      <c r="R35" s="59">
        <f t="shared" si="0"/>
        <v>997.01924348786724</v>
      </c>
      <c r="S35" s="59">
        <f ca="1">AVERAGE(OFFSET($R$3,0,0,'Données projet'!$E$9+1,1))-AVERAGE(OFFSET($H$3,0,0,'Données projet'!$E$9+1,1))</f>
        <v>482.28841373508675</v>
      </c>
      <c r="T35" s="59">
        <f t="shared" si="34"/>
        <v>746.97309214631684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35.755618936852905</v>
      </c>
      <c r="AA35" s="21">
        <f>EXP(-LN(2)/25)*AA34+(1-EXP(-LN(2)/25))/(LN(2)/25)*Calculateur!V35*Calculateur!X35*VLOOKUP('Données projet'!$B$9,Paramètres!$A$1:$I$89,3,0)*0.475*44/12</f>
        <v>8.4132055202436149</v>
      </c>
      <c r="AB35" s="21">
        <f>EXP(-LN(2)/2)*AB34+(1-EXP(-LN(2)/2))/(LN(2)/2)*V35*Y35*VLOOKUP('Données projet'!$B$9,Paramètres!$A$1:$I$89,3,0)*0.475*44/12</f>
        <v>4.9893944787223079</v>
      </c>
      <c r="AC35" s="22">
        <f t="shared" si="3"/>
        <v>49.15821893581883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10.000000000000004</v>
      </c>
      <c r="AI35" s="13">
        <f>IF('Données projet'!$A$62&gt;35,AI34+AH35-AQ34,IF(A35&lt;'Données projet'!$A$62,$AF$205^A35,IF(A35='Données projet'!$A$62,'Données projet'!$B$62,AI34+AH35-AQ34)))</f>
        <v>194.71999999999989</v>
      </c>
      <c r="AJ35" s="13">
        <f>AI35*VLOOKUP('Données projet'!$B$10,Paramètres!$A$1:$I$89,3,0)*VLOOKUP('Données projet'!$B$10,Paramètres!$A$1:$I$89,5,0)</f>
        <v>91.12895999999995</v>
      </c>
      <c r="AK35" s="13">
        <f t="shared" si="35"/>
        <v>24.83730510294016</v>
      </c>
      <c r="AL35" s="20">
        <f t="shared" si="4"/>
        <v>201.97457838762068</v>
      </c>
      <c r="AM35" s="59">
        <f t="shared" si="5"/>
        <v>495.307911720954</v>
      </c>
      <c r="AN35" s="59">
        <f ca="1">AVERAGE(OFFSET($AM$3,0,0,'Données projet'!$E$10+1,1))-AVERAGE(OFFSET($H$3,0,0,'Données projet'!$E$10+1,1))</f>
        <v>259.91478350500478</v>
      </c>
      <c r="AO35" s="59">
        <f t="shared" si="36"/>
        <v>192.27194887051007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10.0349648287261</v>
      </c>
      <c r="AV35" s="21">
        <f>EXP(-LN(2)/25)*AV34+(1-EXP(-LN(2)/25))/(LN(2)/25)*Calculateur!AQ35*Calculateur!AS35*VLOOKUP('Données projet'!$B$10,Paramètres!$A$1:$I$89,3,0)*0.475*44/12</f>
        <v>6.676434534295864</v>
      </c>
      <c r="AW35" s="21">
        <f>EXP(-LN(2)/2)*AW34+(1-EXP(-LN(2)/2))/(LN(2)/2)*AQ35*AT35*VLOOKUP('Données projet'!$B$10,Paramètres!$A$1:$I$89,3,0)*0.475*44/12</f>
        <v>1.6427115022643786</v>
      </c>
      <c r="AX35" s="21">
        <f t="shared" si="6"/>
        <v>18.354110865286344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19.399999999999999</v>
      </c>
      <c r="BD35" s="12">
        <f>IF('Données projet'!$A$88&gt;35,BD34+BC35-BL34,IF(A35&lt;'Données projet'!$A$88,$BA$205^A35,IF(A35='Données projet'!$A$88,'Données projet'!$B$88,BD34+BC35-BL34)))</f>
        <v>240.79999999999998</v>
      </c>
      <c r="BE35" s="13">
        <f>BD35*VLOOKUP('Données projet'!$B$11,Paramètres!$A$1:$I$89,3,0)*VLOOKUP('Données projet'!$B$11,Paramètres!$A$1:$I$89,5,0)</f>
        <v>143.9984</v>
      </c>
      <c r="BF35" s="13">
        <f t="shared" si="37"/>
        <v>37.21147619889382</v>
      </c>
      <c r="BG35" s="20">
        <f t="shared" si="7"/>
        <v>315.60720104640671</v>
      </c>
      <c r="BH35" s="59">
        <f t="shared" si="8"/>
        <v>608.94053437974003</v>
      </c>
      <c r="BI35" s="59">
        <f ca="1">AVERAGE(OFFSET($BH$3,0,0,'Données projet'!$E$11+1,1))-AVERAGE(OFFSET($H$3,0,0,'Données projet'!$E$11+1,1))</f>
        <v>284.60021367910457</v>
      </c>
      <c r="BJ35" s="59">
        <f t="shared" si="38"/>
        <v>301.41905904220812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23.756547958795416</v>
      </c>
      <c r="BQ35" s="21">
        <f>EXP(-LN(2)/25)*BQ34+(1-EXP(-LN(2)/25))/(LN(2)/25)*Calculateur!BL35*Calculateur!BN35*VLOOKUP('Données projet'!$B$11,Paramètres!$A$1:$I$89,3,0)*0.475*44/12</f>
        <v>7.4358942048282461</v>
      </c>
      <c r="BR35" s="21">
        <f>EXP(-LN(2)/2)*BR34+(1-EXP(-LN(2)/2))/(LN(2)/2)*BL35*BO35*VLOOKUP('Données projet'!$B$11,Paramètres!$A$1:$I$89,3,0)*0.475*44/12</f>
        <v>2.7431142528992334</v>
      </c>
      <c r="BS35" s="22">
        <f t="shared" si="9"/>
        <v>33.935556416522893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28.4</v>
      </c>
      <c r="BY35" s="12">
        <f>IF('Données projet'!$A$114&gt;35,BY34+BX35-CG34,IF(A35&lt;'Données projet'!$A$114,$BV$205^A35,IF(A35='Données projet'!$A$114,'Données projet'!$B$114,BY34+BX35-CG34)))</f>
        <v>490.79999999999995</v>
      </c>
      <c r="BZ35" s="13">
        <f>BY35*VLOOKUP('Données projet'!$B$12,Paramètres!$A$1:$I$89,3,0)*VLOOKUP('Données projet'!$B$12,Paramètres!$A$1:$I$89,5,0)</f>
        <v>274.35719999999998</v>
      </c>
      <c r="CA35" s="13">
        <f t="shared" si="39"/>
        <v>65.773113764972635</v>
      </c>
      <c r="CB35" s="20">
        <f t="shared" si="10"/>
        <v>592.39362980732722</v>
      </c>
      <c r="CC35" s="59">
        <f t="shared" si="11"/>
        <v>885.72696314066047</v>
      </c>
      <c r="CD35" s="59">
        <f ca="1">AVERAGE(OFFSET($CC$3,0,0,'Données projet'!$E$12+1,1))-AVERAGE(OFFSET($H$3,0,0,'Données projet'!$E$12+1,1))</f>
        <v>490.96084572840579</v>
      </c>
      <c r="CE35" s="59">
        <f t="shared" si="40"/>
        <v>597.91658789908263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39.609209074193465</v>
      </c>
      <c r="CL35" s="21">
        <f>EXP(-LN(2)/25)*CL34+(1-EXP(-LN(2)/25))/(LN(2)/25)*Calculateur!CG35*Calculateur!CI35*VLOOKUP('Données projet'!$B$12,Paramètres!$A$1:$I$89,3,0)*0.475*44/12</f>
        <v>16.197453271333565</v>
      </c>
      <c r="CM35" s="21">
        <f>EXP(-LN(2)/2)*CM34+(1-EXP(-LN(2)/2))/(LN(2)/2)*CG35*CJ35*VLOOKUP('Données projet'!$B$12,Paramètres!$A$1:$I$89,3,0)*0.475*44/12</f>
        <v>4.38970349698186</v>
      </c>
      <c r="CN35" s="22">
        <f t="shared" si="12"/>
        <v>60.196365842508889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24.166666666666668</v>
      </c>
      <c r="N36" s="13">
        <f>IF('Données projet'!$A$36&gt;35,N35+M36-V35,IF(A36&lt;'Données projet'!$A$36,$K$205^A36,IF(A36='Données projet'!$A$36,'Données projet'!$B$36,N35+M36-V35)))</f>
        <v>548.49999999999977</v>
      </c>
      <c r="O36" s="13">
        <f>N36*VLOOKUP('Données projet'!$B$9,Paramètres!$A$1:$I$89,3,0)*VLOOKUP('Données projet'!$B$9,Paramètres!$A$1:$I$89,5,0)</f>
        <v>342.26399999999984</v>
      </c>
      <c r="P36" s="13">
        <f t="shared" si="33"/>
        <v>79.967522327492162</v>
      </c>
      <c r="Q36" s="20">
        <f t="shared" si="53"/>
        <v>735.38656805371522</v>
      </c>
      <c r="R36" s="59">
        <f t="shared" si="0"/>
        <v>1028.7199013870486</v>
      </c>
      <c r="S36" s="59">
        <f ca="1">AVERAGE(OFFSET($R$3,0,0,'Données projet'!$E$9+1,1))-AVERAGE(OFFSET($H$3,0,0,'Données projet'!$E$9+1,1))</f>
        <v>482.28841373508675</v>
      </c>
      <c r="T36" s="59">
        <f t="shared" si="34"/>
        <v>746.97309214631684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35.054473058275335</v>
      </c>
      <c r="AA36" s="21">
        <f>EXP(-LN(2)/25)*AA35+(1-EXP(-LN(2)/25))/(LN(2)/25)*Calculateur!V36*Calculateur!X36*VLOOKUP('Données projet'!$B$9,Paramètres!$A$1:$I$89,3,0)*0.475*44/12</f>
        <v>8.1831459728613041</v>
      </c>
      <c r="AB36" s="21">
        <f>EXP(-LN(2)/2)*AB35+(1-EXP(-LN(2)/2))/(LN(2)/2)*V36*Y36*VLOOKUP('Données projet'!$B$9,Paramètres!$A$1:$I$89,3,0)*0.475*44/12</f>
        <v>3.5280346699192635</v>
      </c>
      <c r="AC36" s="22">
        <f t="shared" si="3"/>
        <v>46.765653701055903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10.000000000000004</v>
      </c>
      <c r="AI36" s="13">
        <f>IF('Données projet'!$A$62&gt;35,AI35+AH36-AQ35,IF(A36&lt;'Données projet'!$A$62,$AF$205^A36,IF(A36='Données projet'!$A$62,'Données projet'!$B$62,AI35+AH36-AQ35)))</f>
        <v>204.71999999999989</v>
      </c>
      <c r="AJ36" s="13">
        <f>AI36*VLOOKUP('Données projet'!$B$10,Paramètres!$A$1:$I$89,3,0)*VLOOKUP('Données projet'!$B$10,Paramètres!$A$1:$I$89,5,0)</f>
        <v>95.808959999999956</v>
      </c>
      <c r="AK36" s="13">
        <f t="shared" si="35"/>
        <v>25.961065790164401</v>
      </c>
      <c r="AL36" s="20">
        <f t="shared" si="4"/>
        <v>212.08279491786956</v>
      </c>
      <c r="AM36" s="59">
        <f t="shared" si="5"/>
        <v>505.41612825120285</v>
      </c>
      <c r="AN36" s="59">
        <f ca="1">AVERAGE(OFFSET($AM$3,0,0,'Données projet'!$E$10+1,1))-AVERAGE(OFFSET($H$3,0,0,'Données projet'!$E$10+1,1))</f>
        <v>259.91478350500478</v>
      </c>
      <c r="AO36" s="59">
        <f t="shared" si="36"/>
        <v>192.27194887051007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9.8381852891589556</v>
      </c>
      <c r="AV36" s="21">
        <f>EXP(-LN(2)/25)*AV35+(1-EXP(-LN(2)/25))/(LN(2)/25)*Calculateur!AQ36*Calculateur!AS36*VLOOKUP('Données projet'!$B$10,Paramètres!$A$1:$I$89,3,0)*0.475*44/12</f>
        <v>6.4938670808571102</v>
      </c>
      <c r="AW36" s="21">
        <f>EXP(-LN(2)/2)*AW35+(1-EXP(-LN(2)/2))/(LN(2)/2)*AQ36*AT36*VLOOKUP('Données projet'!$B$10,Paramètres!$A$1:$I$89,3,0)*0.475*44/12</f>
        <v>1.1615724427842828</v>
      </c>
      <c r="AX36" s="21">
        <f t="shared" si="6"/>
        <v>17.493624812800348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19.399999999999999</v>
      </c>
      <c r="BD36" s="12">
        <f>IF('Données projet'!$A$88&gt;35,BD35+BC36-BL35,IF(A36&lt;'Données projet'!$A$88,$BA$205^A36,IF(A36='Données projet'!$A$88,'Données projet'!$B$88,BD35+BC36-BL35)))</f>
        <v>260.2</v>
      </c>
      <c r="BE36" s="13">
        <f>BD36*VLOOKUP('Données projet'!$B$11,Paramètres!$A$1:$I$89,3,0)*VLOOKUP('Données projet'!$B$11,Paramètres!$A$1:$I$89,5,0)</f>
        <v>155.59960000000001</v>
      </c>
      <c r="BF36" s="13">
        <f t="shared" si="37"/>
        <v>39.848387726833757</v>
      </c>
      <c r="BG36" s="20">
        <f t="shared" si="7"/>
        <v>340.40524529090209</v>
      </c>
      <c r="BH36" s="59">
        <f t="shared" si="8"/>
        <v>633.7385786242354</v>
      </c>
      <c r="BI36" s="59">
        <f ca="1">AVERAGE(OFFSET($BH$3,0,0,'Données projet'!$E$11+1,1))-AVERAGE(OFFSET($H$3,0,0,'Données projet'!$E$11+1,1))</f>
        <v>284.60021367910457</v>
      </c>
      <c r="BJ36" s="59">
        <f t="shared" si="38"/>
        <v>301.41905904220812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23.290696543386918</v>
      </c>
      <c r="BQ36" s="21">
        <f>EXP(-LN(2)/25)*BQ35+(1-EXP(-LN(2)/25))/(LN(2)/25)*Calculateur!BL36*Calculateur!BN36*VLOOKUP('Données projet'!$B$11,Paramètres!$A$1:$I$89,3,0)*0.475*44/12</f>
        <v>7.2325592867605364</v>
      </c>
      <c r="BR36" s="21">
        <f>EXP(-LN(2)/2)*BR35+(1-EXP(-LN(2)/2))/(LN(2)/2)*BL36*BO36*VLOOKUP('Données projet'!$B$11,Paramètres!$A$1:$I$89,3,0)*0.475*44/12</f>
        <v>1.9396746897945181</v>
      </c>
      <c r="BS36" s="22">
        <f t="shared" si="9"/>
        <v>32.46293051994197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28.4</v>
      </c>
      <c r="BY36" s="12">
        <f>IF('Données projet'!$A$114&gt;35,BY35+BX36-CG35,IF(A36&lt;'Données projet'!$A$114,$BV$205^A36,IF(A36='Données projet'!$A$114,'Données projet'!$B$114,BY35+BX36-CG35)))</f>
        <v>519.19999999999993</v>
      </c>
      <c r="BZ36" s="13">
        <f>BY36*VLOOKUP('Données projet'!$B$12,Paramètres!$A$1:$I$89,3,0)*VLOOKUP('Données projet'!$B$12,Paramètres!$A$1:$I$89,5,0)</f>
        <v>290.2328</v>
      </c>
      <c r="CA36" s="13">
        <f t="shared" si="39"/>
        <v>69.124955529636495</v>
      </c>
      <c r="CB36" s="20">
        <f t="shared" si="10"/>
        <v>625.88142421411692</v>
      </c>
      <c r="CC36" s="59">
        <f t="shared" si="11"/>
        <v>919.21475754745029</v>
      </c>
      <c r="CD36" s="59">
        <f ca="1">AVERAGE(OFFSET($CC$3,0,0,'Données projet'!$E$12+1,1))-AVERAGE(OFFSET($H$3,0,0,'Données projet'!$E$12+1,1))</f>
        <v>490.96084572840579</v>
      </c>
      <c r="CE36" s="59">
        <f t="shared" si="40"/>
        <v>597.91658789908263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38.832496643480539</v>
      </c>
      <c r="CL36" s="21">
        <f>EXP(-LN(2)/25)*CL35+(1-EXP(-LN(2)/25))/(LN(2)/25)*Calculateur!CG36*Calculateur!CI36*VLOOKUP('Données projet'!$B$12,Paramètres!$A$1:$I$89,3,0)*0.475*44/12</f>
        <v>15.754533059841901</v>
      </c>
      <c r="CM36" s="21">
        <f>EXP(-LN(2)/2)*CM35+(1-EXP(-LN(2)/2))/(LN(2)/2)*CG36*CJ36*VLOOKUP('Données projet'!$B$12,Paramètres!$A$1:$I$89,3,0)*0.475*44/12</f>
        <v>3.103989110114175</v>
      </c>
      <c r="CN36" s="22">
        <f t="shared" si="12"/>
        <v>57.691018813436621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24.166666666666668</v>
      </c>
      <c r="N37" s="13">
        <f>IF('Données projet'!$A$36&gt;35,N36+M37-V36,IF(A37&lt;'Données projet'!$A$36,$K$205^A37,IF(A37='Données projet'!$A$36,'Données projet'!$B$36,N36+M37-V36)))</f>
        <v>572.6666666666664</v>
      </c>
      <c r="O37" s="13">
        <f>N37*VLOOKUP('Données projet'!$B$9,Paramètres!$A$1:$I$89,3,0)*VLOOKUP('Données projet'!$B$9,Paramètres!$A$1:$I$89,5,0)</f>
        <v>357.34399999999988</v>
      </c>
      <c r="P37" s="13">
        <f t="shared" si="33"/>
        <v>83.07288466186094</v>
      </c>
      <c r="Q37" s="20">
        <f t="shared" si="53"/>
        <v>767.05940745274086</v>
      </c>
      <c r="R37" s="59">
        <f t="shared" si="0"/>
        <v>1060.3927407860742</v>
      </c>
      <c r="S37" s="59">
        <f ca="1">AVERAGE(OFFSET($R$3,0,0,'Données projet'!$E$9+1,1))-AVERAGE(OFFSET($H$3,0,0,'Données projet'!$E$9+1,1))</f>
        <v>482.28841373508675</v>
      </c>
      <c r="T37" s="59">
        <f t="shared" si="34"/>
        <v>746.97309214631684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34.367076222719909</v>
      </c>
      <c r="AA37" s="21">
        <f>EXP(-LN(2)/25)*AA36+(1-EXP(-LN(2)/25))/(LN(2)/25)*Calculateur!V37*Calculateur!X37*VLOOKUP('Données projet'!$B$9,Paramètres!$A$1:$I$89,3,0)*0.475*44/12</f>
        <v>7.9593774159004678</v>
      </c>
      <c r="AB37" s="21">
        <f>EXP(-LN(2)/2)*AB36+(1-EXP(-LN(2)/2))/(LN(2)/2)*V37*Y37*VLOOKUP('Données projet'!$B$9,Paramètres!$A$1:$I$89,3,0)*0.475*44/12</f>
        <v>2.4946972393611544</v>
      </c>
      <c r="AC37" s="22">
        <f t="shared" si="3"/>
        <v>44.82115087798153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10.000000000000004</v>
      </c>
      <c r="AI37" s="13">
        <f>IF('Données projet'!$A$62&gt;35,AI36+AH37-AQ36,IF(A37&lt;'Données projet'!$A$62,$AF$205^A37,IF(A37='Données projet'!$A$62,'Données projet'!$B$62,AI36+AH37-AQ36)))</f>
        <v>214.71999999999989</v>
      </c>
      <c r="AJ37" s="13">
        <f>AI37*VLOOKUP('Données projet'!$B$10,Paramètres!$A$1:$I$89,3,0)*VLOOKUP('Données projet'!$B$10,Paramètres!$A$1:$I$89,5,0)</f>
        <v>100.48895999999995</v>
      </c>
      <c r="AK37" s="13">
        <f t="shared" si="35"/>
        <v>27.078452436386655</v>
      </c>
      <c r="AL37" s="20">
        <f t="shared" si="4"/>
        <v>222.17990999337334</v>
      </c>
      <c r="AM37" s="59">
        <f t="shared" si="5"/>
        <v>515.51324332670663</v>
      </c>
      <c r="AN37" s="59">
        <f ca="1">AVERAGE(OFFSET($AM$3,0,0,'Données projet'!$E$10+1,1))-AVERAGE(OFFSET($H$3,0,0,'Données projet'!$E$10+1,1))</f>
        <v>259.91478350500478</v>
      </c>
      <c r="AO37" s="59">
        <f t="shared" si="36"/>
        <v>192.27194887051007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9.6452644763390545</v>
      </c>
      <c r="AV37" s="21">
        <f>EXP(-LN(2)/25)*AV36+(1-EXP(-LN(2)/25))/(LN(2)/25)*Calculateur!AQ37*Calculateur!AS37*VLOOKUP('Données projet'!$B$10,Paramètres!$A$1:$I$89,3,0)*0.475*44/12</f>
        <v>6.3162919440334448</v>
      </c>
      <c r="AW37" s="21">
        <f>EXP(-LN(2)/2)*AW36+(1-EXP(-LN(2)/2))/(LN(2)/2)*AQ37*AT37*VLOOKUP('Données projet'!$B$10,Paramètres!$A$1:$I$89,3,0)*0.475*44/12</f>
        <v>0.82135575113218939</v>
      </c>
      <c r="AX37" s="21">
        <f t="shared" si="6"/>
        <v>16.782912171504687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19.399999999999999</v>
      </c>
      <c r="BD37" s="12">
        <f>IF('Données projet'!$A$88&gt;35,BD36+BC37-BL36,IF(A37&lt;'Données projet'!$A$88,$BA$205^A37,IF(A37='Données projet'!$A$88,'Données projet'!$B$88,BD36+BC37-BL36)))</f>
        <v>279.59999999999997</v>
      </c>
      <c r="BE37" s="13">
        <f>BD37*VLOOKUP('Données projet'!$B$11,Paramètres!$A$1:$I$89,3,0)*VLOOKUP('Données projet'!$B$11,Paramètres!$A$1:$I$89,5,0)</f>
        <v>167.20079999999999</v>
      </c>
      <c r="BF37" s="13">
        <f t="shared" si="37"/>
        <v>42.46249139494342</v>
      </c>
      <c r="BG37" s="20">
        <f t="shared" si="7"/>
        <v>365.16356584619308</v>
      </c>
      <c r="BH37" s="59">
        <f t="shared" si="8"/>
        <v>658.49689917952639</v>
      </c>
      <c r="BI37" s="59">
        <f ca="1">AVERAGE(OFFSET($BH$3,0,0,'Données projet'!$E$11+1,1))-AVERAGE(OFFSET($H$3,0,0,'Données projet'!$E$11+1,1))</f>
        <v>284.60021367910457</v>
      </c>
      <c r="BJ37" s="59">
        <f t="shared" si="38"/>
        <v>301.41905904220812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22.833980190093275</v>
      </c>
      <c r="BQ37" s="21">
        <f>EXP(-LN(2)/25)*BQ36+(1-EXP(-LN(2)/25))/(LN(2)/25)*Calculateur!BL37*Calculateur!BN37*VLOOKUP('Données projet'!$B$11,Paramètres!$A$1:$I$89,3,0)*0.475*44/12</f>
        <v>7.0347845727203069</v>
      </c>
      <c r="BR37" s="21">
        <f>EXP(-LN(2)/2)*BR36+(1-EXP(-LN(2)/2))/(LN(2)/2)*BL37*BO37*VLOOKUP('Données projet'!$B$11,Paramètres!$A$1:$I$89,3,0)*0.475*44/12</f>
        <v>1.3715571264496169</v>
      </c>
      <c r="BS37" s="22">
        <f t="shared" si="9"/>
        <v>31.2403218892632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28.4</v>
      </c>
      <c r="BY37" s="12">
        <f>IF('Données projet'!$A$114&gt;35,BY36+BX37-CG36,IF(A37&lt;'Données projet'!$A$114,$BV$205^A37,IF(A37='Données projet'!$A$114,'Données projet'!$B$114,BY36+BX37-CG36)))</f>
        <v>547.59999999999991</v>
      </c>
      <c r="BZ37" s="13">
        <f>BY37*VLOOKUP('Données projet'!$B$12,Paramètres!$A$1:$I$89,3,0)*VLOOKUP('Données projet'!$B$12,Paramètres!$A$1:$I$89,5,0)</f>
        <v>306.10839999999996</v>
      </c>
      <c r="CA37" s="13">
        <f t="shared" si="39"/>
        <v>72.455512621968097</v>
      </c>
      <c r="CB37" s="20">
        <f t="shared" si="10"/>
        <v>659.33214781659433</v>
      </c>
      <c r="CC37" s="59">
        <f t="shared" si="11"/>
        <v>952.6654811499277</v>
      </c>
      <c r="CD37" s="59">
        <f ca="1">AVERAGE(OFFSET($CC$3,0,0,'Données projet'!$E$12+1,1))-AVERAGE(OFFSET($H$3,0,0,'Données projet'!$E$12+1,1))</f>
        <v>490.96084572840579</v>
      </c>
      <c r="CE37" s="59">
        <f t="shared" si="40"/>
        <v>597.91658789908263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38.071015069786093</v>
      </c>
      <c r="CL37" s="21">
        <f>EXP(-LN(2)/25)*CL36+(1-EXP(-LN(2)/25))/(LN(2)/25)*Calculateur!CG37*Calculateur!CI37*VLOOKUP('Données projet'!$B$12,Paramètres!$A$1:$I$89,3,0)*0.475*44/12</f>
        <v>15.323724524825638</v>
      </c>
      <c r="CM37" s="21">
        <f>EXP(-LN(2)/2)*CM36+(1-EXP(-LN(2)/2))/(LN(2)/2)*CG37*CJ37*VLOOKUP('Données projet'!$B$12,Paramètres!$A$1:$I$89,3,0)*0.475*44/12</f>
        <v>2.1948517484909305</v>
      </c>
      <c r="CN37" s="22">
        <f t="shared" si="12"/>
        <v>55.589591343102661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24.166666666666668</v>
      </c>
      <c r="N38" s="13">
        <f>IF('Données projet'!$A$36&gt;35,N37+M38-V37,IF(A38&lt;'Données projet'!$A$36,$K$205^A38,IF(A38='Données projet'!$A$36,'Données projet'!$B$36,N37+M38-V37)))</f>
        <v>596.83333333333303</v>
      </c>
      <c r="O38" s="13">
        <f>N38*VLOOKUP('Données projet'!$B$9,Paramètres!$A$1:$I$89,3,0)*VLOOKUP('Données projet'!$B$9,Paramètres!$A$1:$I$89,5,0)</f>
        <v>372.42399999999981</v>
      </c>
      <c r="P38" s="13">
        <f t="shared" si="33"/>
        <v>86.163025755834283</v>
      </c>
      <c r="Q38" s="20">
        <f t="shared" si="53"/>
        <v>798.70573652474422</v>
      </c>
      <c r="R38" s="59">
        <f t="shared" si="0"/>
        <v>1092.0390698580775</v>
      </c>
      <c r="S38" s="59">
        <f ca="1">AVERAGE(OFFSET($R$3,0,0,'Données projet'!$E$9+1,1))-AVERAGE(OFFSET($H$3,0,0,'Données projet'!$E$9+1,1))</f>
        <v>482.28841373508675</v>
      </c>
      <c r="T38" s="59">
        <f t="shared" si="34"/>
        <v>746.97309214631684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33.693158819839056</v>
      </c>
      <c r="AA38" s="21">
        <f>EXP(-LN(2)/25)*AA37+(1-EXP(-LN(2)/25))/(LN(2)/25)*Calculateur!V38*Calculateur!X38*VLOOKUP('Données projet'!$B$9,Paramètres!$A$1:$I$89,3,0)*0.475*44/12</f>
        <v>7.7417278218972028</v>
      </c>
      <c r="AB38" s="21">
        <f>EXP(-LN(2)/2)*AB37+(1-EXP(-LN(2)/2))/(LN(2)/2)*V38*Y38*VLOOKUP('Données projet'!$B$9,Paramètres!$A$1:$I$89,3,0)*0.475*44/12</f>
        <v>1.7640173349596322</v>
      </c>
      <c r="AC38" s="22">
        <f t="shared" si="3"/>
        <v>43.198903976695888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10.000000000000004</v>
      </c>
      <c r="AI38" s="13">
        <f>IF('Données projet'!$A$62&gt;35,AI37+AH38-AQ37,IF(A38&lt;'Données projet'!$A$62,$AF$205^A38,IF(A38='Données projet'!$A$62,'Données projet'!$B$62,AI37+AH38-AQ37)))</f>
        <v>224.71999999999989</v>
      </c>
      <c r="AJ38" s="13">
        <f>AI38*VLOOKUP('Données projet'!$B$10,Paramètres!$A$1:$I$89,3,0)*VLOOKUP('Données projet'!$B$10,Paramètres!$A$1:$I$89,5,0)</f>
        <v>105.16895999999994</v>
      </c>
      <c r="AK38" s="13">
        <f t="shared" si="35"/>
        <v>28.189795796797835</v>
      </c>
      <c r="AL38" s="20">
        <f t="shared" si="4"/>
        <v>232.26649967942276</v>
      </c>
      <c r="AM38" s="59">
        <f t="shared" si="5"/>
        <v>525.59983301275611</v>
      </c>
      <c r="AN38" s="59">
        <f ca="1">AVERAGE(OFFSET($AM$3,0,0,'Données projet'!$E$10+1,1))-AVERAGE(OFFSET($H$3,0,0,'Données projet'!$E$10+1,1))</f>
        <v>259.91478350500478</v>
      </c>
      <c r="AO38" s="59">
        <f t="shared" si="36"/>
        <v>192.27194887051007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9.4561267229884756</v>
      </c>
      <c r="AV38" s="21">
        <f>EXP(-LN(2)/25)*AV37+(1-EXP(-LN(2)/25))/(LN(2)/25)*Calculateur!AQ38*Calculateur!AS38*VLOOKUP('Données projet'!$B$10,Paramètres!$A$1:$I$89,3,0)*0.475*44/12</f>
        <v>6.1435726086644928</v>
      </c>
      <c r="AW38" s="21">
        <f>EXP(-LN(2)/2)*AW37+(1-EXP(-LN(2)/2))/(LN(2)/2)*AQ38*AT38*VLOOKUP('Données projet'!$B$10,Paramètres!$A$1:$I$89,3,0)*0.475*44/12</f>
        <v>0.58078622139214142</v>
      </c>
      <c r="AX38" s="21">
        <f t="shared" si="6"/>
        <v>16.180485553045109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299</v>
      </c>
      <c r="BB38" s="12">
        <f>VLOOKUP(A38,'Données projet'!$A$87:$I$107,9,0)</f>
        <v>19.399999999999999</v>
      </c>
      <c r="BC38" s="12">
        <f t="array" ref="BC38">INDEX(BB:BB,MIN(IF(ISNUMBER(BB38:BB234),ROW(BB38:BB234),"")))</f>
        <v>19.399999999999999</v>
      </c>
      <c r="BD38" s="12">
        <f>IF('Données projet'!$A$88&gt;35,BD37+BC38-BL37,IF(A38&lt;'Données projet'!$A$88,$BA$205^A38,IF(A38='Données projet'!$A$88,'Données projet'!$B$88,BD37+BC38-BL37)))</f>
        <v>298.99999999999994</v>
      </c>
      <c r="BE38" s="13">
        <f>BD38*VLOOKUP('Données projet'!$B$11,Paramètres!$A$1:$I$89,3,0)*VLOOKUP('Données projet'!$B$11,Paramètres!$A$1:$I$89,5,0)</f>
        <v>178.80199999999999</v>
      </c>
      <c r="BF38" s="13">
        <f t="shared" si="37"/>
        <v>45.055549739375941</v>
      </c>
      <c r="BG38" s="20">
        <f t="shared" si="7"/>
        <v>389.88523246274644</v>
      </c>
      <c r="BH38" s="59">
        <f t="shared" si="8"/>
        <v>683.2185657960797</v>
      </c>
      <c r="BI38" s="59">
        <f ca="1">AVERAGE(OFFSET($BH$3,0,0,'Données projet'!$E$11+1,1))-AVERAGE(OFFSET($H$3,0,0,'Données projet'!$E$11+1,1))</f>
        <v>284.60021367910457</v>
      </c>
      <c r="BJ38" s="59">
        <f t="shared" si="38"/>
        <v>301.41905904220812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55</v>
      </c>
      <c r="BM38" s="16">
        <f>IF(ISNA(VLOOKUP(A38,'Données projet'!$A$87:$I$107,5,0)),0%,VLOOKUP(A38,'Données projet'!$A$87:$I$107,5,0)*VLOOKUP('Données projet'!$B$11,Paramètres!$A$1:$I$89,7,0))</f>
        <v>0.315</v>
      </c>
      <c r="BN38" s="16">
        <f>IF(ISNA(VLOOKUP(A38,'Données projet'!$A$87:$I$107,6,0)),0%,VLOOKUP(A38,'Données projet'!$A$87:$I$107,6,0)*VLOOKUP('Données projet'!$B$11,Paramètres!$A$1:$I$89,7,0))</f>
        <v>7.5600000000000001E-2</v>
      </c>
      <c r="BO38" s="16">
        <f>IF(ISNA(VLOOKUP(A38,'Données projet'!$A$87:$I$107,7,0)),0%,VLOOKUP(A38,'Données projet'!$A$87:$I$107,7,0))</f>
        <v>0.13200000000000001</v>
      </c>
      <c r="BP38" s="21">
        <f>EXP(-LN(2)/35)*BP37+(1-EXP(-LN(2)/35))/(LN(2)/35)*BL38*BM38*VLOOKUP('Données projet'!$B$11,Paramètres!$A$1:$I$89,3,0)*0.475*44/12</f>
        <v>36.129891821831293</v>
      </c>
      <c r="BQ38" s="21">
        <f>EXP(-LN(2)/25)*BQ37+(1-EXP(-LN(2)/25))/(LN(2)/25)*Calculateur!BL38*Calculateur!BN38*VLOOKUP('Données projet'!$B$11,Paramètres!$A$1:$I$89,3,0)*0.475*44/12</f>
        <v>10.127911934383061</v>
      </c>
      <c r="BR38" s="21">
        <f>EXP(-LN(2)/2)*BR37+(1-EXP(-LN(2)/2))/(LN(2)/2)*BL38*BO38*VLOOKUP('Données projet'!$B$11,Paramètres!$A$1:$I$89,3,0)*0.475*44/12</f>
        <v>5.8854012199624606</v>
      </c>
      <c r="BS38" s="22">
        <f t="shared" si="9"/>
        <v>52.143204976176818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576</v>
      </c>
      <c r="BW38" s="12">
        <f>VLOOKUP(A38,'Données projet'!$A$113:$I$133,9,0)</f>
        <v>28.4</v>
      </c>
      <c r="BX38" s="12">
        <f t="array" ref="BX38">INDEX(BW:BW,MIN(IF(ISNUMBER(BW38:BW234),ROW(BW38:BW234),"")))</f>
        <v>28.4</v>
      </c>
      <c r="BY38" s="12">
        <f>IF('Données projet'!$A$114&gt;35,BY37+BX38-CG37,IF(A38&lt;'Données projet'!$A$114,$BV$205^A38,IF(A38='Données projet'!$A$114,'Données projet'!$B$114,BY37+BX38-CG37)))</f>
        <v>575.99999999999989</v>
      </c>
      <c r="BZ38" s="13">
        <f>BY38*VLOOKUP('Données projet'!$B$12,Paramètres!$A$1:$I$89,3,0)*VLOOKUP('Données projet'!$B$12,Paramètres!$A$1:$I$89,5,0)</f>
        <v>321.98399999999992</v>
      </c>
      <c r="CA38" s="13">
        <f t="shared" si="39"/>
        <v>75.76601483154208</v>
      </c>
      <c r="CB38" s="20">
        <f t="shared" si="10"/>
        <v>692.74794249826891</v>
      </c>
      <c r="CC38" s="59">
        <f t="shared" si="11"/>
        <v>986.08127583160217</v>
      </c>
      <c r="CD38" s="59">
        <f ca="1">AVERAGE(OFFSET($CC$3,0,0,'Données projet'!$E$12+1,1))-AVERAGE(OFFSET($H$3,0,0,'Données projet'!$E$12+1,1))</f>
        <v>490.96084572840579</v>
      </c>
      <c r="CE38" s="59">
        <f t="shared" si="40"/>
        <v>597.91658789908263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72</v>
      </c>
      <c r="CH38" s="16">
        <f>IF(ISNA(VLOOKUP(A38,'Données projet'!$A$113:$I$133,5,0)),0%,VLOOKUP(A38,'Données projet'!$A$113:$I$133,5,0)*VLOOKUP('Données projet'!$B$12,Paramètres!$A$1:$I$89,7,0))</f>
        <v>0.38500000000000001</v>
      </c>
      <c r="CI38" s="16">
        <f>IF(ISNA(VLOOKUP(A38,'Données projet'!$A$113:$I$133,6,0)),0%,VLOOKUP(A38,'Données projet'!$A$113:$I$133,6,0)*VLOOKUP('Données projet'!$B$12,Paramètres!$A$1:$I$89,7,0))</f>
        <v>9.240000000000001E-2</v>
      </c>
      <c r="CJ38" s="16">
        <f>IF(ISNA(VLOOKUP(A38,'Données projet'!$A$113:$I$133,7,0)),0%,VLOOKUP(A38,'Données projet'!$A$113:$I$133,7,0))</f>
        <v>0.13200000000000001</v>
      </c>
      <c r="CK38" s="21">
        <f>EXP(-LN(2)/35)*CK37+(1-EXP(-LN(2)/35))/(LN(2)/35)*CG38*CH38*VLOOKUP('Données projet'!$B$12,Paramètres!$A$1:$I$89,3,0)*0.475*44/12</f>
        <v>57.880218673268182</v>
      </c>
      <c r="CL38" s="21">
        <f>EXP(-LN(2)/25)*CL37+(1-EXP(-LN(2)/25))/(LN(2)/25)*Calculateur!CG38*Calculateur!CI38*VLOOKUP('Données projet'!$B$12,Paramètres!$A$1:$I$89,3,0)*0.475*44/12</f>
        <v>19.818652589319761</v>
      </c>
      <c r="CM38" s="21">
        <f>EXP(-LN(2)/2)*CM37+(1-EXP(-LN(2)/2))/(LN(2)/2)*CG38*CJ38*VLOOKUP('Données projet'!$B$12,Paramètres!$A$1:$I$89,3,0)*0.475*44/12</f>
        <v>7.5672458424886528</v>
      </c>
      <c r="CN38" s="22">
        <f t="shared" si="12"/>
        <v>85.266117105076603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621</v>
      </c>
      <c r="L39" s="12">
        <f>VLOOKUP(A39,'Données projet'!$A$35:$I$55,9,0)</f>
        <v>24.166666666666668</v>
      </c>
      <c r="M39" s="12">
        <f t="array" ref="M39">INDEX(L:L,MIN(IF(ISNUMBER(L39:L235),ROW(L39:L235),"")))</f>
        <v>24.166666666666668</v>
      </c>
      <c r="N39" s="13">
        <f>IF('Données projet'!$A$36&gt;35,N38+M39-V38,IF(A39&lt;'Données projet'!$A$36,$K$205^A39,IF(A39='Données projet'!$A$36,'Données projet'!$B$36,N38+M39-V38)))</f>
        <v>620.99999999999966</v>
      </c>
      <c r="O39" s="13">
        <f>N39*VLOOKUP('Données projet'!$B$9,Paramètres!$A$1:$I$89,3,0)*VLOOKUP('Données projet'!$B$9,Paramètres!$A$1:$I$89,5,0)</f>
        <v>387.50399999999979</v>
      </c>
      <c r="P39" s="13">
        <f t="shared" si="33"/>
        <v>89.238632444486413</v>
      </c>
      <c r="Q39" s="20">
        <f t="shared" si="53"/>
        <v>830.32675150748025</v>
      </c>
      <c r="R39" s="59">
        <f t="shared" si="0"/>
        <v>1123.6600848408136</v>
      </c>
      <c r="S39" s="59">
        <f ca="1">AVERAGE(OFFSET($R$3,0,0,'Données projet'!$E$9+1,1))-AVERAGE(OFFSET($H$3,0,0,'Données projet'!$E$9+1,1))</f>
        <v>482.28841373508675</v>
      </c>
      <c r="T39" s="59">
        <f t="shared" si="34"/>
        <v>746.97309214631684</v>
      </c>
      <c r="U39" s="15">
        <f>IF(ISNA(VLOOKUP(A39,'Données projet'!$A$35:$I$55,3,0)),0,VLOOKUP(A39,'Données projet'!$A$35:$I$55,3,0))</f>
        <v>2</v>
      </c>
      <c r="V39" s="15">
        <f>IF(ISNA(VLOOKUP(A39,'Données projet'!$A$35:$I$55,4,0)),0,VLOOKUP(A39,'Données projet'!$A$35:$I$55,4,0))</f>
        <v>119</v>
      </c>
      <c r="W39" s="16">
        <f>IF(ISNA(VLOOKUP(A39,'Données projet'!$A$35:$I$55,5,0)),0%,VLOOKUP(A39,'Données projet'!$A$35:$I$55,5,0)*VLOOKUP('Données projet'!$B$9,Paramètres!$A$1:$I$89,7,0))</f>
        <v>0.42</v>
      </c>
      <c r="X39" s="16">
        <f>IF(ISNA(VLOOKUP(A39,'Données projet'!$A$35:$I$55,6,0)),0%,VLOOKUP(A39,'Données projet'!$A$35:$I$55,6,0)*VLOOKUP('Données projet'!$B$9,Paramètres!$A$1:$I$89,7,0))</f>
        <v>0.1008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74.404712011489437</v>
      </c>
      <c r="AA39" s="21">
        <f>EXP(-LN(2)/25)*AA38+(1-EXP(-LN(2)/25))/(LN(2)/25)*Calculateur!V39*Calculateur!X39*VLOOKUP('Données projet'!$B$9,Paramètres!$A$1:$I$89,3,0)*0.475*44/12</f>
        <v>17.420275583823383</v>
      </c>
      <c r="AB39" s="21">
        <f>EXP(-LN(2)/2)*AB38+(1-EXP(-LN(2)/2))/(LN(2)/2)*V39*Y39*VLOOKUP('Données projet'!$B$9,Paramètres!$A$1:$I$89,3,0)*0.475*44/12</f>
        <v>12.34525409571711</v>
      </c>
      <c r="AC39" s="22">
        <f t="shared" si="3"/>
        <v>104.17024169102993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10.000000000000004</v>
      </c>
      <c r="AI39" s="13">
        <f>IF('Données projet'!$A$62&gt;35,AI38+AH39-AQ38,IF(A39&lt;'Données projet'!$A$62,$AF$205^A39,IF(A39='Données projet'!$A$62,'Données projet'!$B$62,AI38+AH39-AQ38)))</f>
        <v>234.71999999999989</v>
      </c>
      <c r="AJ39" s="13">
        <f>AI39*VLOOKUP('Données projet'!$B$10,Paramètres!$A$1:$I$89,3,0)*VLOOKUP('Données projet'!$B$10,Paramètres!$A$1:$I$89,5,0)</f>
        <v>109.84895999999995</v>
      </c>
      <c r="AK39" s="13">
        <f t="shared" si="35"/>
        <v>29.295395525204487</v>
      </c>
      <c r="AL39" s="20">
        <f t="shared" si="4"/>
        <v>242.34308587306441</v>
      </c>
      <c r="AM39" s="59">
        <f t="shared" si="5"/>
        <v>535.67641920639767</v>
      </c>
      <c r="AN39" s="59">
        <f ca="1">AVERAGE(OFFSET($AM$3,0,0,'Données projet'!$E$10+1,1))-AVERAGE(OFFSET($H$3,0,0,'Données projet'!$E$10+1,1))</f>
        <v>259.91478350500478</v>
      </c>
      <c r="AO39" s="59">
        <f t="shared" si="36"/>
        <v>192.27194887051007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9.2706978456184626</v>
      </c>
      <c r="AV39" s="21">
        <f>EXP(-LN(2)/25)*AV38+(1-EXP(-LN(2)/25))/(LN(2)/25)*Calculateur!AQ39*Calculateur!AS39*VLOOKUP('Données projet'!$B$10,Paramètres!$A$1:$I$89,3,0)*0.475*44/12</f>
        <v>5.9755762926041198</v>
      </c>
      <c r="AW39" s="21">
        <f>EXP(-LN(2)/2)*AW38+(1-EXP(-LN(2)/2))/(LN(2)/2)*AQ39*AT39*VLOOKUP('Données projet'!$B$10,Paramètres!$A$1:$I$89,3,0)*0.475*44/12</f>
        <v>0.4106778755660947</v>
      </c>
      <c r="AX39" s="21">
        <f t="shared" si="6"/>
        <v>15.656952013788676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17.600000000000001</v>
      </c>
      <c r="BD39" s="12">
        <f>IF('Données projet'!$A$88&gt;35,BD38+BC39-BL38,IF(A39&lt;'Données projet'!$A$88,$BA$205^A39,IF(A39='Données projet'!$A$88,'Données projet'!$B$88,BD38+BC39-BL38)))</f>
        <v>261.59999999999997</v>
      </c>
      <c r="BE39" s="13">
        <f>BD39*VLOOKUP('Données projet'!$B$11,Paramètres!$A$1:$I$89,3,0)*VLOOKUP('Données projet'!$B$11,Paramètres!$A$1:$I$89,5,0)</f>
        <v>156.43679999999998</v>
      </c>
      <c r="BF39" s="13">
        <f t="shared" si="37"/>
        <v>40.037775291207829</v>
      </c>
      <c r="BG39" s="20">
        <f t="shared" si="7"/>
        <v>342.19321863218693</v>
      </c>
      <c r="BH39" s="59">
        <f t="shared" si="8"/>
        <v>635.52655196552018</v>
      </c>
      <c r="BI39" s="59">
        <f ca="1">AVERAGE(OFFSET($BH$3,0,0,'Données projet'!$E$11+1,1))-AVERAGE(OFFSET($H$3,0,0,'Données projet'!$E$11+1,1))</f>
        <v>284.60021367910457</v>
      </c>
      <c r="BJ39" s="59">
        <f t="shared" si="38"/>
        <v>301.41905904220812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35.421406680263217</v>
      </c>
      <c r="BQ39" s="21">
        <f>EXP(-LN(2)/25)*BQ38+(1-EXP(-LN(2)/25))/(LN(2)/25)*Calculateur!BL39*Calculateur!BN39*VLOOKUP('Données projet'!$B$11,Paramètres!$A$1:$I$89,3,0)*0.475*44/12</f>
        <v>9.8509636499336146</v>
      </c>
      <c r="BR39" s="21">
        <f>EXP(-LN(2)/2)*BR38+(1-EXP(-LN(2)/2))/(LN(2)/2)*BL39*BO39*VLOOKUP('Données projet'!$B$11,Paramètres!$A$1:$I$89,3,0)*0.475*44/12</f>
        <v>4.1616071126390359</v>
      </c>
      <c r="BS39" s="22">
        <f t="shared" si="9"/>
        <v>49.433977442835868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27</v>
      </c>
      <c r="BY39" s="12">
        <f>IF('Données projet'!$A$114&gt;35,BY38+BX39-CG38,IF(A39&lt;'Données projet'!$A$114,$BV$205^A39,IF(A39='Données projet'!$A$114,'Données projet'!$B$114,BY38+BX39-CG38)))</f>
        <v>530.99999999999989</v>
      </c>
      <c r="BZ39" s="13">
        <f>BY39*VLOOKUP('Données projet'!$B$12,Paramètres!$A$1:$I$89,3,0)*VLOOKUP('Données projet'!$B$12,Paramètres!$A$1:$I$89,5,0)</f>
        <v>296.82899999999995</v>
      </c>
      <c r="CA39" s="13">
        <f t="shared" si="39"/>
        <v>70.511289513454344</v>
      </c>
      <c r="CB39" s="20">
        <f t="shared" si="10"/>
        <v>639.78433756926631</v>
      </c>
      <c r="CC39" s="59">
        <f t="shared" si="11"/>
        <v>933.11767090259968</v>
      </c>
      <c r="CD39" s="59">
        <f ca="1">AVERAGE(OFFSET($CC$3,0,0,'Données projet'!$E$12+1,1))-AVERAGE(OFFSET($H$3,0,0,'Données projet'!$E$12+1,1))</f>
        <v>490.96084572840579</v>
      </c>
      <c r="CE39" s="59">
        <f t="shared" si="40"/>
        <v>597.91658789908263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56.745222888532858</v>
      </c>
      <c r="CL39" s="21">
        <f>EXP(-LN(2)/25)*CL38+(1-EXP(-LN(2)/25))/(LN(2)/25)*Calculateur!CG39*Calculateur!CI39*VLOOKUP('Données projet'!$B$12,Paramètres!$A$1:$I$89,3,0)*0.475*44/12</f>
        <v>19.276710492047169</v>
      </c>
      <c r="CM39" s="21">
        <f>EXP(-LN(2)/2)*CM38+(1-EXP(-LN(2)/2))/(LN(2)/2)*CG39*CJ39*VLOOKUP('Données projet'!$B$12,Paramètres!$A$1:$I$89,3,0)*0.475*44/12</f>
        <v>5.3508508501294356</v>
      </c>
      <c r="CN39" s="22">
        <f t="shared" si="12"/>
        <v>81.372784230709456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18.833333333333332</v>
      </c>
      <c r="N40" s="13">
        <f>IF('Données projet'!$A$36&gt;35,N39+M40-V39,IF(A40&lt;'Données projet'!$A$36,$K$205^A40,IF(A40='Données projet'!$A$36,'Données projet'!$B$36,N39+M40-V39)))</f>
        <v>520.83333333333303</v>
      </c>
      <c r="O40" s="13">
        <f>N40*VLOOKUP('Données projet'!$B$9,Paramètres!$A$1:$I$89,3,0)*VLOOKUP('Données projet'!$B$9,Paramètres!$A$1:$I$89,5,0)</f>
        <v>324.99999999999983</v>
      </c>
      <c r="P40" s="13">
        <f t="shared" si="33"/>
        <v>76.392760292004922</v>
      </c>
      <c r="Q40" s="20">
        <f t="shared" si="53"/>
        <v>699.09239084190824</v>
      </c>
      <c r="R40" s="59">
        <f t="shared" si="0"/>
        <v>992.42572417524161</v>
      </c>
      <c r="S40" s="59">
        <f ca="1">AVERAGE(OFFSET($R$3,0,0,'Données projet'!$E$9+1,1))-AVERAGE(OFFSET($H$3,0,0,'Données projet'!$E$9+1,1))</f>
        <v>482.28841373508675</v>
      </c>
      <c r="T40" s="59">
        <f t="shared" si="34"/>
        <v>746.97309214631684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72.945680991337312</v>
      </c>
      <c r="AA40" s="21">
        <f>EXP(-LN(2)/25)*AA39+(1-EXP(-LN(2)/25))/(LN(2)/25)*Calculateur!V40*Calculateur!X40*VLOOKUP('Données projet'!$B$9,Paramètres!$A$1:$I$89,3,0)*0.475*44/12</f>
        <v>16.943917231891255</v>
      </c>
      <c r="AB40" s="21">
        <f>EXP(-LN(2)/2)*AB39+(1-EXP(-LN(2)/2))/(LN(2)/2)*V40*Y40*VLOOKUP('Données projet'!$B$9,Paramètres!$A$1:$I$89,3,0)*0.475*44/12</f>
        <v>8.7294128865525682</v>
      </c>
      <c r="AC40" s="22">
        <f t="shared" si="3"/>
        <v>98.619011109781141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10.000000000000004</v>
      </c>
      <c r="AI40" s="13">
        <f>IF('Données projet'!$A$62&gt;35,AI39+AH40-AQ39,IF(A40&lt;'Données projet'!$A$62,$AF$205^A40,IF(A40='Données projet'!$A$62,'Données projet'!$B$62,AI39+AH40-AQ39)))</f>
        <v>244.71999999999989</v>
      </c>
      <c r="AJ40" s="13">
        <f>AI40*VLOOKUP('Données projet'!$B$10,Paramètres!$A$1:$I$89,3,0)*VLOOKUP('Données projet'!$B$10,Paramètres!$A$1:$I$89,5,0)</f>
        <v>114.52895999999994</v>
      </c>
      <c r="AK40" s="13">
        <f t="shared" si="35"/>
        <v>30.395524298347773</v>
      </c>
      <c r="AL40" s="20">
        <f t="shared" si="4"/>
        <v>252.41014348628894</v>
      </c>
      <c r="AM40" s="59">
        <f t="shared" si="5"/>
        <v>545.74347681962229</v>
      </c>
      <c r="AN40" s="59">
        <f ca="1">AVERAGE(OFFSET($AM$3,0,0,'Données projet'!$E$10+1,1))-AVERAGE(OFFSET($H$3,0,0,'Données projet'!$E$10+1,1))</f>
        <v>259.91478350500478</v>
      </c>
      <c r="AO40" s="59">
        <f t="shared" si="36"/>
        <v>192.27194887051007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9.0889051154332279</v>
      </c>
      <c r="AV40" s="21">
        <f>EXP(-LN(2)/25)*AV39+(1-EXP(-LN(2)/25))/(LN(2)/25)*Calculateur!AQ40*Calculateur!AS40*VLOOKUP('Données projet'!$B$10,Paramètres!$A$1:$I$89,3,0)*0.475*44/12</f>
        <v>5.8121738446409603</v>
      </c>
      <c r="AW40" s="21">
        <f>EXP(-LN(2)/2)*AW39+(1-EXP(-LN(2)/2))/(LN(2)/2)*AQ40*AT40*VLOOKUP('Données projet'!$B$10,Paramètres!$A$1:$I$89,3,0)*0.475*44/12</f>
        <v>0.29039311069607071</v>
      </c>
      <c r="AX40" s="21">
        <f t="shared" si="6"/>
        <v>15.191472070770258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17.600000000000001</v>
      </c>
      <c r="BD40" s="12">
        <f>IF('Données projet'!$A$88&gt;35,BD39+BC40-BL39,IF(A40&lt;'Données projet'!$A$88,$BA$205^A40,IF(A40='Données projet'!$A$88,'Données projet'!$B$88,BD39+BC40-BL39)))</f>
        <v>279.2</v>
      </c>
      <c r="BE40" s="13">
        <f>BD40*VLOOKUP('Données projet'!$B$11,Paramètres!$A$1:$I$89,3,0)*VLOOKUP('Données projet'!$B$11,Paramètres!$A$1:$I$89,5,0)</f>
        <v>166.9616</v>
      </c>
      <c r="BF40" s="13">
        <f t="shared" si="37"/>
        <v>42.40881044639989</v>
      </c>
      <c r="BG40" s="20">
        <f t="shared" si="7"/>
        <v>364.65346486081313</v>
      </c>
      <c r="BH40" s="59">
        <f t="shared" si="8"/>
        <v>657.98679819414644</v>
      </c>
      <c r="BI40" s="59">
        <f ca="1">AVERAGE(OFFSET($BH$3,0,0,'Données projet'!$E$11+1,1))-AVERAGE(OFFSET($H$3,0,0,'Données projet'!$E$11+1,1))</f>
        <v>284.60021367910457</v>
      </c>
      <c r="BJ40" s="59">
        <f t="shared" si="38"/>
        <v>301.41905904220812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34.72681450018802</v>
      </c>
      <c r="BQ40" s="21">
        <f>EXP(-LN(2)/25)*BQ39+(1-EXP(-LN(2)/25))/(LN(2)/25)*Calculateur!BL40*Calculateur!BN40*VLOOKUP('Données projet'!$B$11,Paramètres!$A$1:$I$89,3,0)*0.475*44/12</f>
        <v>9.581588530886517</v>
      </c>
      <c r="BR40" s="21">
        <f>EXP(-LN(2)/2)*BR39+(1-EXP(-LN(2)/2))/(LN(2)/2)*BL40*BO40*VLOOKUP('Données projet'!$B$11,Paramètres!$A$1:$I$89,3,0)*0.475*44/12</f>
        <v>2.9427006099812307</v>
      </c>
      <c r="BS40" s="22">
        <f t="shared" si="9"/>
        <v>47.251103641055764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27</v>
      </c>
      <c r="BY40" s="12">
        <f>IF('Données projet'!$A$114&gt;35,BY39+BX40-CG39,IF(A40&lt;'Données projet'!$A$114,$BV$205^A40,IF(A40='Données projet'!$A$114,'Données projet'!$B$114,BY39+BX40-CG39)))</f>
        <v>557.99999999999989</v>
      </c>
      <c r="BZ40" s="13">
        <f>BY40*VLOOKUP('Données projet'!$B$12,Paramètres!$A$1:$I$89,3,0)*VLOOKUP('Données projet'!$B$12,Paramètres!$A$1:$I$89,5,0)</f>
        <v>311.92199999999991</v>
      </c>
      <c r="CA40" s="13">
        <f t="shared" si="39"/>
        <v>73.670075764965745</v>
      </c>
      <c r="CB40" s="20">
        <f t="shared" si="10"/>
        <v>671.57286529064845</v>
      </c>
      <c r="CC40" s="59">
        <f t="shared" si="11"/>
        <v>964.90619862398171</v>
      </c>
      <c r="CD40" s="59">
        <f ca="1">AVERAGE(OFFSET($CC$3,0,0,'Données projet'!$E$12+1,1))-AVERAGE(OFFSET($H$3,0,0,'Données projet'!$E$12+1,1))</f>
        <v>490.96084572840579</v>
      </c>
      <c r="CE40" s="59">
        <f t="shared" si="40"/>
        <v>597.91658789908263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55.63248367885712</v>
      </c>
      <c r="CL40" s="21">
        <f>EXP(-LN(2)/25)*CL39+(1-EXP(-LN(2)/25))/(LN(2)/25)*Calculateur!CG40*Calculateur!CI40*VLOOKUP('Données projet'!$B$12,Paramètres!$A$1:$I$89,3,0)*0.475*44/12</f>
        <v>18.749587829923993</v>
      </c>
      <c r="CM40" s="21">
        <f>EXP(-LN(2)/2)*CM39+(1-EXP(-LN(2)/2))/(LN(2)/2)*CG40*CJ40*VLOOKUP('Données projet'!$B$12,Paramètres!$A$1:$I$89,3,0)*0.475*44/12</f>
        <v>3.7836229212443269</v>
      </c>
      <c r="CN40" s="22">
        <f t="shared" si="12"/>
        <v>78.165694430025439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18.833333333333332</v>
      </c>
      <c r="N41" s="13">
        <f>IF('Données projet'!$A$36&gt;35,N40+M41-V40,IF(A41&lt;'Données projet'!$A$36,$K$205^A41,IF(A41='Données projet'!$A$36,'Données projet'!$B$36,N40+M41-V40)))</f>
        <v>539.6666666666664</v>
      </c>
      <c r="O41" s="13">
        <f>N41*VLOOKUP('Données projet'!$B$9,Paramètres!$A$1:$I$89,3,0)*VLOOKUP('Données projet'!$B$9,Paramètres!$A$1:$I$89,5,0)</f>
        <v>336.75199999999984</v>
      </c>
      <c r="P41" s="13">
        <f t="shared" si="33"/>
        <v>78.828514629228664</v>
      </c>
      <c r="Q41" s="20">
        <f t="shared" si="53"/>
        <v>723.80272964590631</v>
      </c>
      <c r="R41" s="59">
        <f t="shared" si="0"/>
        <v>1017.1360629792396</v>
      </c>
      <c r="S41" s="59">
        <f ca="1">AVERAGE(OFFSET($R$3,0,0,'Données projet'!$E$9+1,1))-AVERAGE(OFFSET($H$3,0,0,'Données projet'!$E$9+1,1))</f>
        <v>482.28841373508675</v>
      </c>
      <c r="T41" s="59">
        <f t="shared" si="34"/>
        <v>746.97309214631684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71.515260679569323</v>
      </c>
      <c r="AA41" s="21">
        <f>EXP(-LN(2)/25)*AA40+(1-EXP(-LN(2)/25))/(LN(2)/25)*Calculateur!V41*Calculateur!X41*VLOOKUP('Données projet'!$B$9,Paramètres!$A$1:$I$89,3,0)*0.475*44/12</f>
        <v>16.480584924143308</v>
      </c>
      <c r="AB41" s="21">
        <f>EXP(-LN(2)/2)*AB40+(1-EXP(-LN(2)/2))/(LN(2)/2)*V41*Y41*VLOOKUP('Données projet'!$B$9,Paramètres!$A$1:$I$89,3,0)*0.475*44/12</f>
        <v>6.1726270478585556</v>
      </c>
      <c r="AC41" s="22">
        <f t="shared" si="3"/>
        <v>94.168472651571193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10.000000000000004</v>
      </c>
      <c r="AI41" s="13">
        <f>IF('Données projet'!$A$62&gt;35,AI40+AH41-AQ40,IF(A41&lt;'Données projet'!$A$62,$AF$205^A41,IF(A41='Données projet'!$A$62,'Données projet'!$B$62,AI40+AH41-AQ40)))</f>
        <v>254.71999999999989</v>
      </c>
      <c r="AJ41" s="13">
        <f>AI41*VLOOKUP('Données projet'!$B$10,Paramètres!$A$1:$I$89,3,0)*VLOOKUP('Données projet'!$B$10,Paramètres!$A$1:$I$89,5,0)</f>
        <v>119.20895999999995</v>
      </c>
      <c r="AK41" s="13">
        <f t="shared" si="35"/>
        <v>31.490431247107932</v>
      </c>
      <c r="AL41" s="20">
        <f t="shared" si="4"/>
        <v>262.46810642204622</v>
      </c>
      <c r="AM41" s="59">
        <f t="shared" si="5"/>
        <v>555.80143975537953</v>
      </c>
      <c r="AN41" s="59">
        <f ca="1">AVERAGE(OFFSET($AM$3,0,0,'Données projet'!$E$10+1,1))-AVERAGE(OFFSET($H$3,0,0,'Données projet'!$E$10+1,1))</f>
        <v>259.91478350500478</v>
      </c>
      <c r="AO41" s="59">
        <f t="shared" si="36"/>
        <v>192.27194887051007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8.9106772298043087</v>
      </c>
      <c r="AV41" s="21">
        <f>EXP(-LN(2)/25)*AV40+(1-EXP(-LN(2)/25))/(LN(2)/25)*Calculateur!AQ41*Calculateur!AS41*VLOOKUP('Données projet'!$B$10,Paramètres!$A$1:$I$89,3,0)*0.475*44/12</f>
        <v>5.6532396452103146</v>
      </c>
      <c r="AW41" s="21">
        <f>EXP(-LN(2)/2)*AW40+(1-EXP(-LN(2)/2))/(LN(2)/2)*AQ41*AT41*VLOOKUP('Données projet'!$B$10,Paramètres!$A$1:$I$89,3,0)*0.475*44/12</f>
        <v>0.20533893778304735</v>
      </c>
      <c r="AX41" s="21">
        <f t="shared" si="6"/>
        <v>14.76925581279767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17.600000000000001</v>
      </c>
      <c r="BD41" s="12">
        <f>IF('Données projet'!$A$88&gt;35,BD40+BC41-BL40,IF(A41&lt;'Données projet'!$A$88,$BA$205^A41,IF(A41='Données projet'!$A$88,'Données projet'!$B$88,BD40+BC41-BL40)))</f>
        <v>296.8</v>
      </c>
      <c r="BE41" s="13">
        <f>BD41*VLOOKUP('Données projet'!$B$11,Paramètres!$A$1:$I$89,3,0)*VLOOKUP('Données projet'!$B$11,Paramètres!$A$1:$I$89,5,0)</f>
        <v>177.48640000000003</v>
      </c>
      <c r="BF41" s="13">
        <f t="shared" si="37"/>
        <v>44.762499594286325</v>
      </c>
      <c r="BG41" s="20">
        <f t="shared" si="7"/>
        <v>387.08350012671536</v>
      </c>
      <c r="BH41" s="59">
        <f t="shared" si="8"/>
        <v>680.41683346004868</v>
      </c>
      <c r="BI41" s="59">
        <f ca="1">AVERAGE(OFFSET($BH$3,0,0,'Données projet'!$E$11+1,1))-AVERAGE(OFFSET($H$3,0,0,'Données projet'!$E$11+1,1))</f>
        <v>284.60021367910457</v>
      </c>
      <c r="BJ41" s="59">
        <f t="shared" si="38"/>
        <v>301.41905904220812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34.045842849104702</v>
      </c>
      <c r="BQ41" s="21">
        <f>EXP(-LN(2)/25)*BQ40+(1-EXP(-LN(2)/25))/(LN(2)/25)*Calculateur!BL41*Calculateur!BN41*VLOOKUP('Données projet'!$B$11,Paramètres!$A$1:$I$89,3,0)*0.475*44/12</f>
        <v>9.3195794886355827</v>
      </c>
      <c r="BR41" s="21">
        <f>EXP(-LN(2)/2)*BR40+(1-EXP(-LN(2)/2))/(LN(2)/2)*BL41*BO41*VLOOKUP('Données projet'!$B$11,Paramètres!$A$1:$I$89,3,0)*0.475*44/12</f>
        <v>2.080803556319518</v>
      </c>
      <c r="BS41" s="22">
        <f t="shared" si="9"/>
        <v>45.446225894059801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27</v>
      </c>
      <c r="BY41" s="12">
        <f>IF('Données projet'!$A$114&gt;35,BY40+BX41-CG40,IF(A41&lt;'Données projet'!$A$114,$BV$205^A41,IF(A41='Données projet'!$A$114,'Données projet'!$B$114,BY40+BX41-CG40)))</f>
        <v>584.99999999999989</v>
      </c>
      <c r="BZ41" s="13">
        <f>BY41*VLOOKUP('Données projet'!$B$12,Paramètres!$A$1:$I$89,3,0)*VLOOKUP('Données projet'!$B$12,Paramètres!$A$1:$I$89,5,0)</f>
        <v>327.01499999999993</v>
      </c>
      <c r="CA41" s="13">
        <f t="shared" si="39"/>
        <v>76.811113612871907</v>
      </c>
      <c r="CB41" s="20">
        <f t="shared" si="10"/>
        <v>703.33048120908506</v>
      </c>
      <c r="CC41" s="59">
        <f t="shared" si="11"/>
        <v>996.66381454241832</v>
      </c>
      <c r="CD41" s="59">
        <f ca="1">AVERAGE(OFFSET($CC$3,0,0,'Données projet'!$E$12+1,1))-AVERAGE(OFFSET($H$3,0,0,'Données projet'!$E$12+1,1))</f>
        <v>490.96084572840579</v>
      </c>
      <c r="CE41" s="59">
        <f t="shared" si="40"/>
        <v>597.91658789908263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54.541564606379225</v>
      </c>
      <c r="CL41" s="21">
        <f>EXP(-LN(2)/25)*CL40+(1-EXP(-LN(2)/25))/(LN(2)/25)*Calculateur!CG41*Calculateur!CI41*VLOOKUP('Données projet'!$B$12,Paramètres!$A$1:$I$89,3,0)*0.475*44/12</f>
        <v>18.236879364716749</v>
      </c>
      <c r="CM41" s="21">
        <f>EXP(-LN(2)/2)*CM40+(1-EXP(-LN(2)/2))/(LN(2)/2)*CG41*CJ41*VLOOKUP('Données projet'!$B$12,Paramètres!$A$1:$I$89,3,0)*0.475*44/12</f>
        <v>2.6754254250647183</v>
      </c>
      <c r="CN41" s="22">
        <f t="shared" si="12"/>
        <v>75.453869396160698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18.833333333333332</v>
      </c>
      <c r="N42" s="13">
        <f>IF('Données projet'!$A$36&gt;35,N41+M42-V41,IF(A42&lt;'Données projet'!$A$36,$K$205^A42,IF(A42='Données projet'!$A$36,'Données projet'!$B$36,N41+M42-V41)))</f>
        <v>558.49999999999977</v>
      </c>
      <c r="O42" s="13">
        <f>N42*VLOOKUP('Données projet'!$B$9,Paramètres!$A$1:$I$89,3,0)*VLOOKUP('Données projet'!$B$9,Paramètres!$A$1:$I$89,5,0)</f>
        <v>348.50399999999985</v>
      </c>
      <c r="P42" s="13">
        <f t="shared" si="33"/>
        <v>81.254392549593788</v>
      </c>
      <c r="Q42" s="20">
        <f t="shared" si="53"/>
        <v>748.49586702387558</v>
      </c>
      <c r="R42" s="59">
        <f t="shared" si="0"/>
        <v>1041.8292003572089</v>
      </c>
      <c r="S42" s="59">
        <f ca="1">AVERAGE(OFFSET($R$3,0,0,'Données projet'!$E$9+1,1))-AVERAGE(OFFSET($H$3,0,0,'Données projet'!$E$9+1,1))</f>
        <v>482.28841373508675</v>
      </c>
      <c r="T42" s="59">
        <f t="shared" si="34"/>
        <v>746.97309214631684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70.11289003764486</v>
      </c>
      <c r="AA42" s="21">
        <f>EXP(-LN(2)/25)*AA41+(1-EXP(-LN(2)/25))/(LN(2)/25)*Calculateur!V42*Calculateur!X42*VLOOKUP('Données projet'!$B$9,Paramètres!$A$1:$I$89,3,0)*0.475*44/12</f>
        <v>16.029922462716314</v>
      </c>
      <c r="AB42" s="21">
        <f>EXP(-LN(2)/2)*AB41+(1-EXP(-LN(2)/2))/(LN(2)/2)*V42*Y42*VLOOKUP('Données projet'!$B$9,Paramètres!$A$1:$I$89,3,0)*0.475*44/12</f>
        <v>4.364706443276285</v>
      </c>
      <c r="AC42" s="22">
        <f t="shared" si="3"/>
        <v>90.507518943637464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10.000000000000004</v>
      </c>
      <c r="AI42" s="13">
        <f>IF('Données projet'!$A$62&gt;35,AI41+AH42-AQ41,IF(A42&lt;'Données projet'!$A$62,$AF$205^A42,IF(A42='Données projet'!$A$62,'Données projet'!$B$62,AI41+AH42-AQ41)))</f>
        <v>264.71999999999991</v>
      </c>
      <c r="AJ42" s="13">
        <f>AI42*VLOOKUP('Données projet'!$B$10,Paramètres!$A$1:$I$89,3,0)*VLOOKUP('Données projet'!$B$10,Paramètres!$A$1:$I$89,5,0)</f>
        <v>123.88895999999997</v>
      </c>
      <c r="AK42" s="13">
        <f t="shared" si="35"/>
        <v>32.580344833727665</v>
      </c>
      <c r="AL42" s="20">
        <f t="shared" si="4"/>
        <v>272.51737258540891</v>
      </c>
      <c r="AM42" s="59">
        <f t="shared" si="5"/>
        <v>565.85070591874228</v>
      </c>
      <c r="AN42" s="59">
        <f ca="1">AVERAGE(OFFSET($AM$3,0,0,'Données projet'!$E$10+1,1))-AVERAGE(OFFSET($H$3,0,0,'Données projet'!$E$10+1,1))</f>
        <v>259.91478350500478</v>
      </c>
      <c r="AO42" s="59">
        <f t="shared" si="36"/>
        <v>192.27194887051007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8.7359442843042974</v>
      </c>
      <c r="AV42" s="21">
        <f>EXP(-LN(2)/25)*AV41+(1-EXP(-LN(2)/25))/(LN(2)/25)*Calculateur!AQ42*Calculateur!AS42*VLOOKUP('Données projet'!$B$10,Paramètres!$A$1:$I$89,3,0)*0.475*44/12</f>
        <v>5.4986515098210864</v>
      </c>
      <c r="AW42" s="21">
        <f>EXP(-LN(2)/2)*AW41+(1-EXP(-LN(2)/2))/(LN(2)/2)*AQ42*AT42*VLOOKUP('Données projet'!$B$10,Paramètres!$A$1:$I$89,3,0)*0.475*44/12</f>
        <v>0.14519655534803536</v>
      </c>
      <c r="AX42" s="21">
        <f t="shared" si="6"/>
        <v>14.379792349473417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17.600000000000001</v>
      </c>
      <c r="BD42" s="12">
        <f>IF('Données projet'!$A$88&gt;35,BD41+BC42-BL41,IF(A42&lt;'Données projet'!$A$88,$BA$205^A42,IF(A42='Données projet'!$A$88,'Données projet'!$B$88,BD41+BC42-BL41)))</f>
        <v>314.40000000000003</v>
      </c>
      <c r="BE42" s="13">
        <f>BD42*VLOOKUP('Données projet'!$B$11,Paramètres!$A$1:$I$89,3,0)*VLOOKUP('Données projet'!$B$11,Paramètres!$A$1:$I$89,5,0)</f>
        <v>188.01120000000003</v>
      </c>
      <c r="BF42" s="13">
        <f t="shared" si="37"/>
        <v>47.099988496590989</v>
      </c>
      <c r="BG42" s="20">
        <f t="shared" si="7"/>
        <v>409.48531996489601</v>
      </c>
      <c r="BH42" s="59">
        <f t="shared" si="8"/>
        <v>702.81865329822926</v>
      </c>
      <c r="BI42" s="59">
        <f ca="1">AVERAGE(OFFSET($BH$3,0,0,'Données projet'!$E$11+1,1))-AVERAGE(OFFSET($H$3,0,0,'Données projet'!$E$11+1,1))</f>
        <v>284.60021367910457</v>
      </c>
      <c r="BJ42" s="59">
        <f t="shared" si="38"/>
        <v>301.41905904220812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33.378224636747433</v>
      </c>
      <c r="BQ42" s="21">
        <f>EXP(-LN(2)/25)*BQ41+(1-EXP(-LN(2)/25))/(LN(2)/25)*Calculateur!BL42*Calculateur!BN42*VLOOKUP('Données projet'!$B$11,Paramètres!$A$1:$I$89,3,0)*0.475*44/12</f>
        <v>9.0647350974234584</v>
      </c>
      <c r="BR42" s="21">
        <f>EXP(-LN(2)/2)*BR41+(1-EXP(-LN(2)/2))/(LN(2)/2)*BL42*BO42*VLOOKUP('Données projet'!$B$11,Paramètres!$A$1:$I$89,3,0)*0.475*44/12</f>
        <v>1.4713503049906154</v>
      </c>
      <c r="BS42" s="22">
        <f t="shared" si="9"/>
        <v>43.914310039161506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27</v>
      </c>
      <c r="BY42" s="12">
        <f>IF('Données projet'!$A$114&gt;35,BY41+BX42-CG41,IF(A42&lt;'Données projet'!$A$114,$BV$205^A42,IF(A42='Données projet'!$A$114,'Données projet'!$B$114,BY41+BX42-CG41)))</f>
        <v>611.99999999999989</v>
      </c>
      <c r="BZ42" s="13">
        <f>BY42*VLOOKUP('Données projet'!$B$12,Paramètres!$A$1:$I$89,3,0)*VLOOKUP('Données projet'!$B$12,Paramètres!$A$1:$I$89,5,0)</f>
        <v>342.10799999999995</v>
      </c>
      <c r="CA42" s="13">
        <f t="shared" si="39"/>
        <v>79.935315774430151</v>
      </c>
      <c r="CB42" s="20">
        <f t="shared" si="10"/>
        <v>735.0587749737989</v>
      </c>
      <c r="CC42" s="59">
        <f t="shared" si="11"/>
        <v>1028.3921083071323</v>
      </c>
      <c r="CD42" s="59">
        <f ca="1">AVERAGE(OFFSET($CC$3,0,0,'Données projet'!$E$12+1,1))-AVERAGE(OFFSET($H$3,0,0,'Données projet'!$E$12+1,1))</f>
        <v>490.96084572840579</v>
      </c>
      <c r="CE42" s="59">
        <f t="shared" si="40"/>
        <v>597.91658789908263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53.472037791517685</v>
      </c>
      <c r="CL42" s="21">
        <f>EXP(-LN(2)/25)*CL41+(1-EXP(-LN(2)/25))/(LN(2)/25)*Calculateur!CG42*Calculateur!CI42*VLOOKUP('Données projet'!$B$12,Paramètres!$A$1:$I$89,3,0)*0.475*44/12</f>
        <v>17.738190939452764</v>
      </c>
      <c r="CM42" s="21">
        <f>EXP(-LN(2)/2)*CM41+(1-EXP(-LN(2)/2))/(LN(2)/2)*CG42*CJ42*VLOOKUP('Données projet'!$B$12,Paramètres!$A$1:$I$89,3,0)*0.475*44/12</f>
        <v>1.8918114606221637</v>
      </c>
      <c r="CN42" s="22">
        <f t="shared" si="12"/>
        <v>73.102040191592607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18.833333333333332</v>
      </c>
      <c r="N43" s="13">
        <f>IF('Données projet'!$A$36&gt;35,N42+M43-V42,IF(A43&lt;'Données projet'!$A$36,$K$205^A43,IF(A43='Données projet'!$A$36,'Données projet'!$B$36,N42+M43-V42)))</f>
        <v>577.33333333333314</v>
      </c>
      <c r="O43" s="13">
        <f>N43*VLOOKUP('Données projet'!$B$9,Paramètres!$A$1:$I$89,3,0)*VLOOKUP('Données projet'!$B$9,Paramètres!$A$1:$I$89,5,0)</f>
        <v>360.25599999999986</v>
      </c>
      <c r="P43" s="13">
        <f t="shared" si="33"/>
        <v>83.670765279147787</v>
      </c>
      <c r="Q43" s="20">
        <f t="shared" si="53"/>
        <v>773.1724495278487</v>
      </c>
      <c r="R43" s="59">
        <f t="shared" si="0"/>
        <v>1066.5057828611821</v>
      </c>
      <c r="S43" s="59">
        <f ca="1">AVERAGE(OFFSET($R$3,0,0,'Données projet'!$E$9+1,1))-AVERAGE(OFFSET($H$3,0,0,'Données projet'!$E$9+1,1))</f>
        <v>482.28841373508675</v>
      </c>
      <c r="T43" s="59">
        <f t="shared" si="34"/>
        <v>746.97309214631684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68.738019028646903</v>
      </c>
      <c r="AA43" s="21">
        <f>EXP(-LN(2)/25)*AA42+(1-EXP(-LN(2)/25))/(LN(2)/25)*Calculateur!V43*Calculateur!X43*VLOOKUP('Données projet'!$B$9,Paramètres!$A$1:$I$89,3,0)*0.475*44/12</f>
        <v>15.591583389996352</v>
      </c>
      <c r="AB43" s="21">
        <f>EXP(-LN(2)/2)*AB42+(1-EXP(-LN(2)/2))/(LN(2)/2)*V43*Y43*VLOOKUP('Données projet'!$B$9,Paramètres!$A$1:$I$89,3,0)*0.475*44/12</f>
        <v>3.0863135239292783</v>
      </c>
      <c r="AC43" s="22">
        <f t="shared" si="3"/>
        <v>87.415915942572525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274.72000000000003</v>
      </c>
      <c r="AG43" s="12">
        <f>VLOOKUP(A43,'Données projet'!$A$61:$I$81,9,0)</f>
        <v>10.000000000000004</v>
      </c>
      <c r="AH43" s="12">
        <f t="array" ref="AH43">INDEX(AG:AG,MIN(IF(ISNUMBER(AG43:AG239),ROW(AG43:AG239),"")))</f>
        <v>10.000000000000004</v>
      </c>
      <c r="AI43" s="13">
        <f>IF('Données projet'!$A$62&gt;35,AI42+AH43-AQ42,IF(A43&lt;'Données projet'!$A$62,$AF$205^A43,IF(A43='Données projet'!$A$62,'Données projet'!$B$62,AI42+AH43-AQ42)))</f>
        <v>274.71999999999991</v>
      </c>
      <c r="AJ43" s="13">
        <f>AI43*VLOOKUP('Données projet'!$B$10,Paramètres!$A$1:$I$89,3,0)*VLOOKUP('Données projet'!$B$10,Paramètres!$A$1:$I$89,5,0)</f>
        <v>128.56895999999995</v>
      </c>
      <c r="AK43" s="13">
        <f t="shared" si="35"/>
        <v>33.665475282053634</v>
      </c>
      <c r="AL43" s="20">
        <f t="shared" si="4"/>
        <v>282.55830811624332</v>
      </c>
      <c r="AM43" s="59">
        <f t="shared" si="5"/>
        <v>575.89164144957658</v>
      </c>
      <c r="AN43" s="59">
        <f ca="1">AVERAGE(OFFSET($AM$3,0,0,'Données projet'!$E$10+1,1))-AVERAGE(OFFSET($H$3,0,0,'Données projet'!$E$10+1,1))</f>
        <v>259.91478350500478</v>
      </c>
      <c r="AO43" s="59">
        <f t="shared" si="36"/>
        <v>192.27194887051007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54.94400000000001</v>
      </c>
      <c r="AR43" s="16">
        <f>IF(ISNA(VLOOKUP(A43,'Données projet'!$A$61:$I$81,5,0)),0%,VLOOKUP(A43,'Données projet'!$A$61:$I$81,5,0)*VLOOKUP('Données projet'!$B$10,Paramètres!$A$1:$I$89,7,0))</f>
        <v>0.38500000000000001</v>
      </c>
      <c r="AS43" s="16">
        <f>IF(ISNA(VLOOKUP(A43,'Données projet'!$A$61:$I$81,6,0)),0%,VLOOKUP(A43,'Données projet'!$A$61:$I$81,6,0)*VLOOKUP('Données projet'!$B$10,Paramètres!$A$1:$I$89,7,0))</f>
        <v>9.240000000000001E-2</v>
      </c>
      <c r="AT43" s="16">
        <f>IF(ISNA(VLOOKUP(A43,'Données projet'!$A$61:$I$81,7,0)),0%,VLOOKUP(A43,'Données projet'!$A$61:$I$81,7,0))</f>
        <v>0.13200000000000001</v>
      </c>
      <c r="AU43" s="21">
        <f>EXP(-LN(2)/35)*AU42+(1-EXP(-LN(2)/35))/(LN(2)/35)*AQ43*AR43*VLOOKUP('Données projet'!$B$10,Paramètres!$A$1:$I$89,3,0)*0.475*44/12</f>
        <v>21.697373700768729</v>
      </c>
      <c r="AV43" s="21">
        <f>EXP(-LN(2)/25)*AV42+(1-EXP(-LN(2)/25))/(LN(2)/25)*Calculateur!AQ43*Calculateur!AS43*VLOOKUP('Données projet'!$B$10,Paramètres!$A$1:$I$89,3,0)*0.475*44/12</f>
        <v>8.4877371639375134</v>
      </c>
      <c r="AW43" s="21">
        <f>EXP(-LN(2)/2)*AW42+(1-EXP(-LN(2)/2))/(LN(2)/2)*AQ43*AT43*VLOOKUP('Données projet'!$B$10,Paramètres!$A$1:$I$89,3,0)*0.475*44/12</f>
        <v>3.9457155937361748</v>
      </c>
      <c r="AX43" s="21">
        <f t="shared" si="6"/>
        <v>34.130826458442414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332</v>
      </c>
      <c r="BB43" s="12">
        <f>VLOOKUP(A43,'Données projet'!$A$87:$I$107,9,0)</f>
        <v>17.600000000000001</v>
      </c>
      <c r="BC43" s="12">
        <f t="array" ref="BC43">INDEX(BB:BB,MIN(IF(ISNUMBER(BB43:BB239),ROW(BB43:BB239),"")))</f>
        <v>17.600000000000001</v>
      </c>
      <c r="BD43" s="12">
        <f>IF('Données projet'!$A$88&gt;35,BD42+BC43-BL42,IF(A43&lt;'Données projet'!$A$88,$BA$205^A43,IF(A43='Données projet'!$A$88,'Données projet'!$B$88,BD42+BC43-BL42)))</f>
        <v>332.00000000000006</v>
      </c>
      <c r="BE43" s="13">
        <f>BD43*VLOOKUP('Données projet'!$B$11,Paramètres!$A$1:$I$89,3,0)*VLOOKUP('Données projet'!$B$11,Paramètres!$A$1:$I$89,5,0)</f>
        <v>198.53600000000003</v>
      </c>
      <c r="BF43" s="13">
        <f t="shared" si="37"/>
        <v>49.42228739122875</v>
      </c>
      <c r="BG43" s="20">
        <f t="shared" si="7"/>
        <v>431.86068387305681</v>
      </c>
      <c r="BH43" s="59">
        <f t="shared" si="8"/>
        <v>725.19401720639007</v>
      </c>
      <c r="BI43" s="59">
        <f ca="1">AVERAGE(OFFSET($BH$3,0,0,'Données projet'!$E$11+1,1))-AVERAGE(OFFSET($H$3,0,0,'Données projet'!$E$11+1,1))</f>
        <v>284.60021367910457</v>
      </c>
      <c r="BJ43" s="59">
        <f t="shared" si="38"/>
        <v>301.41905904220812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48</v>
      </c>
      <c r="BM43" s="16">
        <f>IF(ISNA(VLOOKUP(A43,'Données projet'!$A$87:$I$107,5,0)),0%,VLOOKUP(A43,'Données projet'!$A$87:$I$107,5,0)*VLOOKUP('Données projet'!$B$11,Paramètres!$A$1:$I$89,7,0))</f>
        <v>0.315</v>
      </c>
      <c r="BN43" s="16">
        <f>IF(ISNA(VLOOKUP(A43,'Données projet'!$A$87:$I$107,6,0)),0%,VLOOKUP(A43,'Données projet'!$A$87:$I$107,6,0)*VLOOKUP('Données projet'!$B$11,Paramètres!$A$1:$I$89,7,0))</f>
        <v>7.5600000000000001E-2</v>
      </c>
      <c r="BO43" s="16">
        <f>IF(ISNA(VLOOKUP(A43,'Données projet'!$A$87:$I$107,7,0)),0%,VLOOKUP(A43,'Données projet'!$A$87:$I$107,7,0))</f>
        <v>0.13200000000000001</v>
      </c>
      <c r="BP43" s="21">
        <f>EXP(-LN(2)/35)*BP42+(1-EXP(-LN(2)/35))/(LN(2)/35)*BL43*BM43*VLOOKUP('Données projet'!$B$11,Paramètres!$A$1:$I$89,3,0)*0.475*44/12</f>
        <v>44.718175440942609</v>
      </c>
      <c r="BQ43" s="21">
        <f>EXP(-LN(2)/25)*BQ42+(1-EXP(-LN(2)/25))/(LN(2)/25)*Calculateur!BL43*Calculateur!BN43*VLOOKUP('Données projet'!$B$11,Paramètres!$A$1:$I$89,3,0)*0.475*44/12</f>
        <v>11.68419958414267</v>
      </c>
      <c r="BR43" s="21">
        <f>EXP(-LN(2)/2)*BR42+(1-EXP(-LN(2)/2))/(LN(2)/2)*BL43*BO43*VLOOKUP('Données projet'!$B$11,Paramètres!$A$1:$I$89,3,0)*0.475*44/12</f>
        <v>5.3303484327621158</v>
      </c>
      <c r="BS43" s="22">
        <f t="shared" si="9"/>
        <v>61.732723457847392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639</v>
      </c>
      <c r="BW43" s="12">
        <f>VLOOKUP(A43,'Données projet'!$A$113:$I$133,9,0)</f>
        <v>27</v>
      </c>
      <c r="BX43" s="12">
        <f t="array" ref="BX43">INDEX(BW:BW,MIN(IF(ISNUMBER(BW43:BW239),ROW(BW43:BW239),"")))</f>
        <v>27</v>
      </c>
      <c r="BY43" s="12">
        <f>IF('Données projet'!$A$114&gt;35,BY42+BX43-CG42,IF(A43&lt;'Données projet'!$A$114,$BV$205^A43,IF(A43='Données projet'!$A$114,'Données projet'!$B$114,BY42+BX43-CG42)))</f>
        <v>638.99999999999989</v>
      </c>
      <c r="BZ43" s="13">
        <f>BY43*VLOOKUP('Données projet'!$B$12,Paramètres!$A$1:$I$89,3,0)*VLOOKUP('Données projet'!$B$12,Paramètres!$A$1:$I$89,5,0)</f>
        <v>357.20099999999991</v>
      </c>
      <c r="CA43" s="13">
        <f t="shared" si="39"/>
        <v>83.043509879488369</v>
      </c>
      <c r="CB43" s="20">
        <f t="shared" si="10"/>
        <v>766.75918804010871</v>
      </c>
      <c r="CC43" s="59">
        <f t="shared" si="11"/>
        <v>1060.092521373442</v>
      </c>
      <c r="CD43" s="59">
        <f ca="1">AVERAGE(OFFSET($CC$3,0,0,'Données projet'!$E$12+1,1))-AVERAGE(OFFSET($H$3,0,0,'Données projet'!$E$12+1,1))</f>
        <v>490.96084572840579</v>
      </c>
      <c r="CE43" s="59">
        <f t="shared" si="40"/>
        <v>597.91658789908263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77</v>
      </c>
      <c r="CH43" s="16">
        <f>IF(ISNA(VLOOKUP(A43,'Données projet'!$A$113:$I$133,5,0)),0%,VLOOKUP(A43,'Données projet'!$A$113:$I$133,5,0)*VLOOKUP('Données projet'!$B$12,Paramètres!$A$1:$I$89,7,0))</f>
        <v>0.38500000000000001</v>
      </c>
      <c r="CI43" s="16">
        <f>IF(ISNA(VLOOKUP(A43,'Données projet'!$A$113:$I$133,6,0)),0%,VLOOKUP(A43,'Données projet'!$A$113:$I$133,6,0)*VLOOKUP('Données projet'!$B$12,Paramètres!$A$1:$I$89,7,0))</f>
        <v>9.240000000000001E-2</v>
      </c>
      <c r="CJ43" s="16">
        <f>IF(ISNA(VLOOKUP(A43,'Données projet'!$A$113:$I$133,7,0)),0%,VLOOKUP(A43,'Données projet'!$A$113:$I$133,7,0))</f>
        <v>0.13200000000000001</v>
      </c>
      <c r="CK43" s="21">
        <f>EXP(-LN(2)/35)*CK42+(1-EXP(-LN(2)/35))/(LN(2)/35)*CG43*CH43*VLOOKUP('Données projet'!$B$12,Paramètres!$A$1:$I$89,3,0)*0.475*44/12</f>
        <v>74.406719579510025</v>
      </c>
      <c r="CL43" s="21">
        <f>EXP(-LN(2)/25)*CL42+(1-EXP(-LN(2)/25))/(LN(2)/25)*Calculateur!CG43*Calculateur!CI43*VLOOKUP('Données projet'!$B$12,Paramètres!$A$1:$I$89,3,0)*0.475*44/12</f>
        <v>22.508342245469382</v>
      </c>
      <c r="CM43" s="21">
        <f>EXP(-LN(2)/2)*CM42+(1-EXP(-LN(2)/2))/(LN(2)/2)*CG43*CJ43*VLOOKUP('Données projet'!$B$12,Paramètres!$A$1:$I$89,3,0)*0.475*44/12</f>
        <v>7.7706897838133386</v>
      </c>
      <c r="CN43" s="22">
        <f t="shared" si="12"/>
        <v>104.68575160879274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18.833333333333332</v>
      </c>
      <c r="N44" s="13">
        <f>IF('Données projet'!$A$36&gt;35,N43+M44-V43,IF(A44&lt;'Données projet'!$A$36,$K$205^A44,IF(A44='Données projet'!$A$36,'Données projet'!$B$36,N43+M44-V43)))</f>
        <v>596.16666666666652</v>
      </c>
      <c r="O44" s="13">
        <f>N44*VLOOKUP('Données projet'!$B$9,Paramètres!$A$1:$I$89,3,0)*VLOOKUP('Données projet'!$B$9,Paramètres!$A$1:$I$89,5,0)</f>
        <v>372.00799999999992</v>
      </c>
      <c r="P44" s="13">
        <f t="shared" si="33"/>
        <v>86.077978449442</v>
      </c>
      <c r="Q44" s="20">
        <f t="shared" si="53"/>
        <v>797.83307913277804</v>
      </c>
      <c r="R44" s="59">
        <f t="shared" si="0"/>
        <v>1091.1664124661113</v>
      </c>
      <c r="S44" s="59">
        <f ca="1">AVERAGE(OFFSET($R$3,0,0,'Données projet'!$E$9+1,1))-AVERAGE(OFFSET($H$3,0,0,'Données projet'!$E$9+1,1))</f>
        <v>482.28841373508675</v>
      </c>
      <c r="T44" s="59">
        <f t="shared" si="34"/>
        <v>746.97309214631684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67.390108401546897</v>
      </c>
      <c r="AA44" s="21">
        <f>EXP(-LN(2)/25)*AA43+(1-EXP(-LN(2)/25))/(LN(2)/25)*Calculateur!V44*Calculateur!X44*VLOOKUP('Données projet'!$B$9,Paramètres!$A$1:$I$89,3,0)*0.475*44/12</f>
        <v>15.165230722271167</v>
      </c>
      <c r="AB44" s="21">
        <f>EXP(-LN(2)/2)*AB43+(1-EXP(-LN(2)/2))/(LN(2)/2)*V44*Y44*VLOOKUP('Données projet'!$B$9,Paramètres!$A$1:$I$89,3,0)*0.475*44/12</f>
        <v>2.1823532216381429</v>
      </c>
      <c r="AC44" s="22">
        <f t="shared" si="3"/>
        <v>84.737692345456196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231.2759999999999</v>
      </c>
      <c r="AJ44" s="13">
        <f>AI44*VLOOKUP('Données projet'!$B$10,Paramètres!$A$1:$I$89,3,0)*VLOOKUP('Données projet'!$B$10,Paramètres!$A$1:$I$89,5,0)</f>
        <v>108.23716799999995</v>
      </c>
      <c r="AK44" s="13">
        <f t="shared" si="35"/>
        <v>28.915257889621941</v>
      </c>
      <c r="AL44" s="20">
        <f t="shared" si="4"/>
        <v>238.87380842442477</v>
      </c>
      <c r="AM44" s="59">
        <f t="shared" si="5"/>
        <v>532.20714175775811</v>
      </c>
      <c r="AN44" s="59">
        <f ca="1">AVERAGE(OFFSET($AM$3,0,0,'Données projet'!$E$10+1,1))-AVERAGE(OFFSET($H$3,0,0,'Données projet'!$E$10+1,1))</f>
        <v>259.91478350500478</v>
      </c>
      <c r="AO44" s="59">
        <f t="shared" si="36"/>
        <v>192.27194887051007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21.271901436587854</v>
      </c>
      <c r="AV44" s="21">
        <f>EXP(-LN(2)/25)*AV43+(1-EXP(-LN(2)/25))/(LN(2)/25)*Calculateur!AQ44*Calculateur!AS44*VLOOKUP('Données projet'!$B$10,Paramètres!$A$1:$I$89,3,0)*0.475*44/12</f>
        <v>8.2556395448389441</v>
      </c>
      <c r="AW44" s="21">
        <f>EXP(-LN(2)/2)*AW43+(1-EXP(-LN(2)/2))/(LN(2)/2)*AQ44*AT44*VLOOKUP('Données projet'!$B$10,Paramètres!$A$1:$I$89,3,0)*0.475*44/12</f>
        <v>2.790042252964354</v>
      </c>
      <c r="AX44" s="21">
        <f t="shared" si="6"/>
        <v>32.317583234391151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20</v>
      </c>
      <c r="BD44" s="12">
        <f>IF('Données projet'!$A$88&gt;35,BD43+BC44-BL43,IF(A44&lt;'Données projet'!$A$88,$BA$205^A44,IF(A44='Données projet'!$A$88,'Données projet'!$B$88,BD43+BC44-BL43)))</f>
        <v>304.00000000000006</v>
      </c>
      <c r="BE44" s="13">
        <f>BD44*VLOOKUP('Données projet'!$B$11,Paramètres!$A$1:$I$89,3,0)*VLOOKUP('Données projet'!$B$11,Paramètres!$A$1:$I$89,5,0)</f>
        <v>181.79200000000006</v>
      </c>
      <c r="BF44" s="13">
        <f t="shared" si="37"/>
        <v>45.720642997712531</v>
      </c>
      <c r="BG44" s="20">
        <f t="shared" si="7"/>
        <v>396.25118655434943</v>
      </c>
      <c r="BH44" s="59">
        <f t="shared" si="8"/>
        <v>689.58451988768275</v>
      </c>
      <c r="BI44" s="59">
        <f ca="1">AVERAGE(OFFSET($BH$3,0,0,'Données projet'!$E$11+1,1))-AVERAGE(OFFSET($H$3,0,0,'Données projet'!$E$11+1,1))</f>
        <v>284.60021367910457</v>
      </c>
      <c r="BJ44" s="59">
        <f t="shared" si="38"/>
        <v>301.41905904220812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43.841279295939522</v>
      </c>
      <c r="BQ44" s="21">
        <f>EXP(-LN(2)/25)*BQ43+(1-EXP(-LN(2)/25))/(LN(2)/25)*Calculateur!BL44*Calculateur!BN44*VLOOKUP('Données projet'!$B$11,Paramètres!$A$1:$I$89,3,0)*0.475*44/12</f>
        <v>11.364694532068937</v>
      </c>
      <c r="BR44" s="21">
        <f>EXP(-LN(2)/2)*BR43+(1-EXP(-LN(2)/2))/(LN(2)/2)*BL44*BO44*VLOOKUP('Données projet'!$B$11,Paramètres!$A$1:$I$89,3,0)*0.475*44/12</f>
        <v>3.7691255228931784</v>
      </c>
      <c r="BS44" s="22">
        <f t="shared" si="9"/>
        <v>58.975099350901637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24.8</v>
      </c>
      <c r="BY44" s="12">
        <f>IF('Données projet'!$A$114&gt;35,BY43+BX44-CG43,IF(A44&lt;'Données projet'!$A$114,$BV$205^A44,IF(A44='Données projet'!$A$114,'Données projet'!$B$114,BY43+BX44-CG43)))</f>
        <v>586.79999999999984</v>
      </c>
      <c r="BZ44" s="13">
        <f>BY44*VLOOKUP('Données projet'!$B$12,Paramètres!$A$1:$I$89,3,0)*VLOOKUP('Données projet'!$B$12,Paramètres!$A$1:$I$89,5,0)</f>
        <v>328.02119999999991</v>
      </c>
      <c r="CA44" s="13">
        <f t="shared" si="39"/>
        <v>77.019907950957702</v>
      </c>
      <c r="CB44" s="20">
        <f t="shared" si="10"/>
        <v>705.44659634791776</v>
      </c>
      <c r="CC44" s="59">
        <f t="shared" si="11"/>
        <v>998.77992968125113</v>
      </c>
      <c r="CD44" s="59">
        <f ca="1">AVERAGE(OFFSET($CC$3,0,0,'Données projet'!$E$12+1,1))-AVERAGE(OFFSET($H$3,0,0,'Données projet'!$E$12+1,1))</f>
        <v>490.96084572840579</v>
      </c>
      <c r="CE44" s="59">
        <f t="shared" si="40"/>
        <v>597.91658789908263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72.947649192173515</v>
      </c>
      <c r="CL44" s="21">
        <f>EXP(-LN(2)/25)*CL43+(1-EXP(-LN(2)/25))/(LN(2)/25)*Calculateur!CG44*Calculateur!CI44*VLOOKUP('Données projet'!$B$12,Paramètres!$A$1:$I$89,3,0)*0.475*44/12</f>
        <v>21.892850443104749</v>
      </c>
      <c r="CM44" s="21">
        <f>EXP(-LN(2)/2)*CM43+(1-EXP(-LN(2)/2))/(LN(2)/2)*CG44*CJ44*VLOOKUP('Données projet'!$B$12,Paramètres!$A$1:$I$89,3,0)*0.475*44/12</f>
        <v>5.4947074406314389</v>
      </c>
      <c r="CN44" s="22">
        <f t="shared" si="12"/>
        <v>100.33520707590971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615</v>
      </c>
      <c r="L45" s="12">
        <f>VLOOKUP(A45,'Données projet'!$A$35:$I$55,9,0)</f>
        <v>18.833333333333332</v>
      </c>
      <c r="M45" s="12">
        <f t="array" ref="M45">INDEX(L:L,MIN(IF(ISNUMBER(L45:L241),ROW(L45:L241),"")))</f>
        <v>18.833333333333332</v>
      </c>
      <c r="N45" s="13">
        <f>IF('Données projet'!$A$36&gt;35,N44+M45-V44,IF(A45&lt;'Données projet'!$A$36,$K$205^A45,IF(A45='Données projet'!$A$36,'Données projet'!$B$36,N44+M45-V44)))</f>
        <v>614.99999999999989</v>
      </c>
      <c r="O45" s="13">
        <f>N45*VLOOKUP('Données projet'!$B$9,Paramètres!$A$1:$I$89,3,0)*VLOOKUP('Données projet'!$B$9,Paramètres!$A$1:$I$89,5,0)</f>
        <v>383.75999999999993</v>
      </c>
      <c r="P45" s="13">
        <f t="shared" si="33"/>
        <v>88.476354614370933</v>
      </c>
      <c r="Q45" s="20">
        <f t="shared" si="53"/>
        <v>822.47831762002932</v>
      </c>
      <c r="R45" s="59">
        <f t="shared" si="0"/>
        <v>1115.8116509533627</v>
      </c>
      <c r="S45" s="59">
        <f ca="1">AVERAGE(OFFSET($R$3,0,0,'Données projet'!$E$9+1,1))-AVERAGE(OFFSET($H$3,0,0,'Données projet'!$E$9+1,1))</f>
        <v>482.28841373508675</v>
      </c>
      <c r="T45" s="59">
        <f t="shared" si="34"/>
        <v>746.97309214631684</v>
      </c>
      <c r="U45" s="15">
        <f>IF(ISNA(VLOOKUP(A45,'Données projet'!$A$35:$I$55,3,0)),0,VLOOKUP(A45,'Données projet'!$A$35:$I$55,3,0))</f>
        <v>3</v>
      </c>
      <c r="V45" s="15">
        <f>IF(ISNA(VLOOKUP(A45,'Données projet'!$A$35:$I$55,4,0)),0,VLOOKUP(A45,'Données projet'!$A$35:$I$55,4,0))</f>
        <v>121</v>
      </c>
      <c r="W45" s="16">
        <f>IF(ISNA(VLOOKUP(A45,'Données projet'!$A$35:$I$55,5,0)),0%,VLOOKUP(A45,'Données projet'!$A$35:$I$55,5,0)*VLOOKUP('Données projet'!$B$9,Paramètres!$A$1:$I$89,7,0))</f>
        <v>0.42</v>
      </c>
      <c r="X45" s="16">
        <f>IF(ISNA(VLOOKUP(A45,'Données projet'!$A$35:$I$55,6,0)),0%,VLOOKUP(A45,'Données projet'!$A$35:$I$55,6,0)*VLOOKUP('Données projet'!$B$9,Paramètres!$A$1:$I$89,7,0))</f>
        <v>0.1008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108.13621698997297</v>
      </c>
      <c r="AA45" s="21">
        <f>EXP(-LN(2)/25)*AA44+(1-EXP(-LN(2)/25))/(LN(2)/25)*Calculateur!V45*Calculateur!X45*VLOOKUP('Données projet'!$B$9,Paramètres!$A$1:$I$89,3,0)*0.475*44/12</f>
        <v>24.807005024082841</v>
      </c>
      <c r="AB45" s="21">
        <f>EXP(-LN(2)/2)*AB44+(1-EXP(-LN(2)/2))/(LN(2)/2)*V45*Y45*VLOOKUP('Données projet'!$B$9,Paramètres!$A$1:$I$89,3,0)*0.475*44/12</f>
        <v>12.827581657766494</v>
      </c>
      <c r="AC45" s="22">
        <f t="shared" si="3"/>
        <v>145.77080367182231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242.7759999999999</v>
      </c>
      <c r="AJ45" s="13">
        <f>AI45*VLOOKUP('Données projet'!$B$10,Paramètres!$A$1:$I$89,3,0)*VLOOKUP('Données projet'!$B$10,Paramètres!$A$1:$I$89,5,0)</f>
        <v>113.61916799999995</v>
      </c>
      <c r="AK45" s="13">
        <f t="shared" si="35"/>
        <v>30.182075615833046</v>
      </c>
      <c r="AL45" s="20">
        <f t="shared" si="4"/>
        <v>250.45383263090912</v>
      </c>
      <c r="AM45" s="59">
        <f t="shared" si="5"/>
        <v>543.78716596424238</v>
      </c>
      <c r="AN45" s="59">
        <f ca="1">AVERAGE(OFFSET($AM$3,0,0,'Données projet'!$E$10+1,1))-AVERAGE(OFFSET($H$3,0,0,'Données projet'!$E$10+1,1))</f>
        <v>259.91478350500478</v>
      </c>
      <c r="AO45" s="59">
        <f t="shared" si="36"/>
        <v>192.27194887051007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20.854772423995108</v>
      </c>
      <c r="AV45" s="21">
        <f>EXP(-LN(2)/25)*AV44+(1-EXP(-LN(2)/25))/(LN(2)/25)*Calculateur!AQ45*Calculateur!AS45*VLOOKUP('Données projet'!$B$10,Paramètres!$A$1:$I$89,3,0)*0.475*44/12</f>
        <v>8.0298886473401083</v>
      </c>
      <c r="AW45" s="21">
        <f>EXP(-LN(2)/2)*AW44+(1-EXP(-LN(2)/2))/(LN(2)/2)*AQ45*AT45*VLOOKUP('Données projet'!$B$10,Paramètres!$A$1:$I$89,3,0)*0.475*44/12</f>
        <v>1.9728577968680876</v>
      </c>
      <c r="AX45" s="21">
        <f t="shared" si="6"/>
        <v>30.857518868203304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20</v>
      </c>
      <c r="BD45" s="12">
        <f>IF('Données projet'!$A$88&gt;35,BD44+BC45-BL44,IF(A45&lt;'Données projet'!$A$88,$BA$205^A45,IF(A45='Données projet'!$A$88,'Données projet'!$B$88,BD44+BC45-BL44)))</f>
        <v>324.00000000000006</v>
      </c>
      <c r="BE45" s="13">
        <f>BD45*VLOOKUP('Données projet'!$B$11,Paramètres!$A$1:$I$89,3,0)*VLOOKUP('Données projet'!$B$11,Paramètres!$A$1:$I$89,5,0)</f>
        <v>193.75200000000004</v>
      </c>
      <c r="BF45" s="13">
        <f t="shared" si="37"/>
        <v>48.368520355376113</v>
      </c>
      <c r="BG45" s="20">
        <f t="shared" si="7"/>
        <v>421.69323961894679</v>
      </c>
      <c r="BH45" s="59">
        <f t="shared" si="8"/>
        <v>715.02657295228005</v>
      </c>
      <c r="BI45" s="59">
        <f ca="1">AVERAGE(OFFSET($BH$3,0,0,'Données projet'!$E$11+1,1))-AVERAGE(OFFSET($H$3,0,0,'Données projet'!$E$11+1,1))</f>
        <v>284.60021367910457</v>
      </c>
      <c r="BJ45" s="59">
        <f t="shared" si="38"/>
        <v>301.41905904220812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42.981578549486109</v>
      </c>
      <c r="BQ45" s="21">
        <f>EXP(-LN(2)/25)*BQ44+(1-EXP(-LN(2)/25))/(LN(2)/25)*Calculateur!BL45*Calculateur!BN45*VLOOKUP('Données projet'!$B$11,Paramètres!$A$1:$I$89,3,0)*0.475*44/12</f>
        <v>11.0539263624462</v>
      </c>
      <c r="BR45" s="21">
        <f>EXP(-LN(2)/2)*BR44+(1-EXP(-LN(2)/2))/(LN(2)/2)*BL45*BO45*VLOOKUP('Données projet'!$B$11,Paramètres!$A$1:$I$89,3,0)*0.475*44/12</f>
        <v>2.6651742163810583</v>
      </c>
      <c r="BS45" s="22">
        <f t="shared" si="9"/>
        <v>56.700679128313368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24.8</v>
      </c>
      <c r="BY45" s="12">
        <f>IF('Données projet'!$A$114&gt;35,BY44+BX45-CG44,IF(A45&lt;'Données projet'!$A$114,$BV$205^A45,IF(A45='Données projet'!$A$114,'Données projet'!$B$114,BY44+BX45-CG44)))</f>
        <v>611.5999999999998</v>
      </c>
      <c r="BZ45" s="13">
        <f>BY45*VLOOKUP('Données projet'!$B$12,Paramètres!$A$1:$I$89,3,0)*VLOOKUP('Données projet'!$B$12,Paramètres!$A$1:$I$89,5,0)</f>
        <v>341.88439999999986</v>
      </c>
      <c r="CA45" s="13">
        <f t="shared" si="39"/>
        <v>79.889150066970018</v>
      </c>
      <c r="CB45" s="20">
        <f t="shared" si="10"/>
        <v>734.58893303330581</v>
      </c>
      <c r="CC45" s="59">
        <f t="shared" si="11"/>
        <v>1027.9222663666392</v>
      </c>
      <c r="CD45" s="59">
        <f ca="1">AVERAGE(OFFSET($CC$3,0,0,'Données projet'!$E$12+1,1))-AVERAGE(OFFSET($H$3,0,0,'Données projet'!$E$12+1,1))</f>
        <v>490.96084572840579</v>
      </c>
      <c r="CE45" s="59">
        <f t="shared" si="40"/>
        <v>597.91658789908263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71.51719028518761</v>
      </c>
      <c r="CL45" s="21">
        <f>EXP(-LN(2)/25)*CL44+(1-EXP(-LN(2)/25))/(LN(2)/25)*Calculateur!CG45*Calculateur!CI45*VLOOKUP('Données projet'!$B$12,Paramètres!$A$1:$I$89,3,0)*0.475*44/12</f>
        <v>21.294189296443083</v>
      </c>
      <c r="CM45" s="21">
        <f>EXP(-LN(2)/2)*CM44+(1-EXP(-LN(2)/2))/(LN(2)/2)*CG45*CJ45*VLOOKUP('Données projet'!$B$12,Paramètres!$A$1:$I$89,3,0)*0.475*44/12</f>
        <v>3.8853448919066698</v>
      </c>
      <c r="CN45" s="22">
        <f t="shared" si="12"/>
        <v>96.696724473537358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17.666666666666668</v>
      </c>
      <c r="N46" s="13">
        <f>IF('Données projet'!$A$36&gt;35,N45+M46-V45,IF(A46&lt;'Données projet'!$A$36,$K$205^A46,IF(A46='Données projet'!$A$36,'Données projet'!$B$36,N45+M46-V45)))</f>
        <v>511.66666666666652</v>
      </c>
      <c r="O46" s="13">
        <f>N46*VLOOKUP('Données projet'!$B$9,Paramètres!$A$1:$I$89,3,0)*VLOOKUP('Données projet'!$B$9,Paramètres!$A$1:$I$89,5,0)</f>
        <v>319.27999999999992</v>
      </c>
      <c r="P46" s="13">
        <f t="shared" si="33"/>
        <v>75.203524026346827</v>
      </c>
      <c r="Q46" s="20">
        <f t="shared" si="53"/>
        <v>687.05880434588732</v>
      </c>
      <c r="R46" s="59">
        <f t="shared" si="0"/>
        <v>980.3921376792207</v>
      </c>
      <c r="S46" s="59">
        <f ca="1">AVERAGE(OFFSET($R$3,0,0,'Données projet'!$E$9+1,1))-AVERAGE(OFFSET($H$3,0,0,'Données projet'!$E$9+1,1))</f>
        <v>482.28841373508675</v>
      </c>
      <c r="T46" s="59">
        <f t="shared" si="34"/>
        <v>746.97309214631684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106.01573173137929</v>
      </c>
      <c r="AA46" s="21">
        <f>EXP(-LN(2)/25)*AA45+(1-EXP(-LN(2)/25))/(LN(2)/25)*Calculateur!V46*Calculateur!X46*VLOOKUP('Données projet'!$B$9,Paramètres!$A$1:$I$89,3,0)*0.475*44/12</f>
        <v>24.128656167155597</v>
      </c>
      <c r="AB46" s="21">
        <f>EXP(-LN(2)/2)*AB45+(1-EXP(-LN(2)/2))/(LN(2)/2)*V46*Y46*VLOOKUP('Données projet'!$B$9,Paramètres!$A$1:$I$89,3,0)*0.475*44/12</f>
        <v>9.0704699764308643</v>
      </c>
      <c r="AC46" s="22">
        <f t="shared" si="3"/>
        <v>139.21485787496576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11.5</v>
      </c>
      <c r="AI46" s="13">
        <f>IF('Données projet'!$A$62&gt;35,AI45+AH46-AQ45,IF(A46&lt;'Données projet'!$A$62,$AF$205^A46,IF(A46='Données projet'!$A$62,'Données projet'!$B$62,AI45+AH46-AQ45)))</f>
        <v>254.2759999999999</v>
      </c>
      <c r="AJ46" s="13">
        <f>AI46*VLOOKUP('Données projet'!$B$10,Paramètres!$A$1:$I$89,3,0)*VLOOKUP('Données projet'!$B$10,Paramètres!$A$1:$I$89,5,0)</f>
        <v>119.00116799999995</v>
      </c>
      <c r="AK46" s="13">
        <f t="shared" si="35"/>
        <v>31.441924927499041</v>
      </c>
      <c r="AL46" s="20">
        <f t="shared" si="4"/>
        <v>262.02172018206073</v>
      </c>
      <c r="AM46" s="59">
        <f t="shared" si="5"/>
        <v>555.35505351539405</v>
      </c>
      <c r="AN46" s="59">
        <f ca="1">AVERAGE(OFFSET($AM$3,0,0,'Données projet'!$E$10+1,1))-AVERAGE(OFFSET($H$3,0,0,'Données projet'!$E$10+1,1))</f>
        <v>259.91478350500478</v>
      </c>
      <c r="AO46" s="59">
        <f t="shared" si="36"/>
        <v>192.27194887051007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20.445823056915732</v>
      </c>
      <c r="AV46" s="21">
        <f>EXP(-LN(2)/25)*AV45+(1-EXP(-LN(2)/25))/(LN(2)/25)*Calculateur!AQ46*Calculateur!AS46*VLOOKUP('Données projet'!$B$10,Paramètres!$A$1:$I$89,3,0)*0.475*44/12</f>
        <v>7.8103109200051017</v>
      </c>
      <c r="AW46" s="21">
        <f>EXP(-LN(2)/2)*AW45+(1-EXP(-LN(2)/2))/(LN(2)/2)*AQ46*AT46*VLOOKUP('Données projet'!$B$10,Paramètres!$A$1:$I$89,3,0)*0.475*44/12</f>
        <v>1.3950211264821772</v>
      </c>
      <c r="AX46" s="21">
        <f t="shared" si="6"/>
        <v>29.65115510340301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20</v>
      </c>
      <c r="BD46" s="12">
        <f>IF('Données projet'!$A$88&gt;35,BD45+BC46-BL45,IF(A46&lt;'Données projet'!$A$88,$BA$205^A46,IF(A46='Données projet'!$A$88,'Données projet'!$B$88,BD45+BC46-BL45)))</f>
        <v>344.00000000000006</v>
      </c>
      <c r="BE46" s="13">
        <f>BD46*VLOOKUP('Données projet'!$B$11,Paramètres!$A$1:$I$89,3,0)*VLOOKUP('Données projet'!$B$11,Paramètres!$A$1:$I$89,5,0)</f>
        <v>205.71200000000005</v>
      </c>
      <c r="BF46" s="13">
        <f t="shared" si="37"/>
        <v>50.997427696933762</v>
      </c>
      <c r="BG46" s="20">
        <f t="shared" si="7"/>
        <v>447.10225323882634</v>
      </c>
      <c r="BH46" s="59">
        <f t="shared" si="8"/>
        <v>740.43558657215965</v>
      </c>
      <c r="BI46" s="59">
        <f ca="1">AVERAGE(OFFSET($BH$3,0,0,'Données projet'!$E$11+1,1))-AVERAGE(OFFSET($H$3,0,0,'Données projet'!$E$11+1,1))</f>
        <v>284.60021367910457</v>
      </c>
      <c r="BJ46" s="59">
        <f t="shared" si="38"/>
        <v>301.41905904220812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42.138736010304967</v>
      </c>
      <c r="BQ46" s="21">
        <f>EXP(-LN(2)/25)*BQ45+(1-EXP(-LN(2)/25))/(LN(2)/25)*Calculateur!BL46*Calculateur!BN46*VLOOKUP('Données projet'!$B$11,Paramètres!$A$1:$I$89,3,0)*0.475*44/12</f>
        <v>10.751656164764386</v>
      </c>
      <c r="BR46" s="21">
        <f>EXP(-LN(2)/2)*BR45+(1-EXP(-LN(2)/2))/(LN(2)/2)*BL46*BO46*VLOOKUP('Données projet'!$B$11,Paramètres!$A$1:$I$89,3,0)*0.475*44/12</f>
        <v>1.8845627614465894</v>
      </c>
      <c r="BS46" s="22">
        <f t="shared" si="9"/>
        <v>54.77495493651594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24.8</v>
      </c>
      <c r="BY46" s="12">
        <f>IF('Données projet'!$A$114&gt;35,BY45+BX46-CG45,IF(A46&lt;'Données projet'!$A$114,$BV$205^A46,IF(A46='Données projet'!$A$114,'Données projet'!$B$114,BY45+BX46-CG45)))</f>
        <v>636.39999999999975</v>
      </c>
      <c r="BZ46" s="13">
        <f>BY46*VLOOKUP('Données projet'!$B$12,Paramètres!$A$1:$I$89,3,0)*VLOOKUP('Données projet'!$B$12,Paramètres!$A$1:$I$89,5,0)</f>
        <v>355.74759999999986</v>
      </c>
      <c r="CA46" s="13">
        <f t="shared" si="39"/>
        <v>82.744877508992289</v>
      </c>
      <c r="CB46" s="20">
        <f t="shared" si="10"/>
        <v>763.70773166149456</v>
      </c>
      <c r="CC46" s="59">
        <f t="shared" si="11"/>
        <v>1057.0410649948278</v>
      </c>
      <c r="CD46" s="59">
        <f ca="1">AVERAGE(OFFSET($CC$3,0,0,'Données projet'!$E$12+1,1))-AVERAGE(OFFSET($H$3,0,0,'Données projet'!$E$12+1,1))</f>
        <v>490.96084572840579</v>
      </c>
      <c r="CE46" s="59">
        <f t="shared" si="40"/>
        <v>597.91658789908263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70.114781804873914</v>
      </c>
      <c r="CL46" s="21">
        <f>EXP(-LN(2)/25)*CL45+(1-EXP(-LN(2)/25))/(LN(2)/25)*Calculateur!CG46*Calculateur!CI46*VLOOKUP('Données projet'!$B$12,Paramètres!$A$1:$I$89,3,0)*0.475*44/12</f>
        <v>20.7118985703191</v>
      </c>
      <c r="CM46" s="21">
        <f>EXP(-LN(2)/2)*CM45+(1-EXP(-LN(2)/2))/(LN(2)/2)*CG46*CJ46*VLOOKUP('Données projet'!$B$12,Paramètres!$A$1:$I$89,3,0)*0.475*44/12</f>
        <v>2.7473537203157199</v>
      </c>
      <c r="CN46" s="22">
        <f t="shared" si="12"/>
        <v>93.574034095508722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17.666666666666668</v>
      </c>
      <c r="N47" s="13">
        <f>IF('Données projet'!$A$36&gt;35,N46+M47-V46,IF(A47&lt;'Données projet'!$A$36,$K$205^A47,IF(A47='Données projet'!$A$36,'Données projet'!$B$36,N46+M47-V46)))</f>
        <v>529.33333333333314</v>
      </c>
      <c r="O47" s="13">
        <f>N47*VLOOKUP('Données projet'!$B$9,Paramètres!$A$1:$I$89,3,0)*VLOOKUP('Données projet'!$B$9,Paramètres!$A$1:$I$89,5,0)</f>
        <v>330.30399999999986</v>
      </c>
      <c r="P47" s="13">
        <f t="shared" si="33"/>
        <v>77.493330749887136</v>
      </c>
      <c r="Q47" s="20">
        <f t="shared" si="53"/>
        <v>710.24701772271976</v>
      </c>
      <c r="R47" s="59">
        <f t="shared" si="0"/>
        <v>1003.5803510560531</v>
      </c>
      <c r="S47" s="59">
        <f ca="1">AVERAGE(OFFSET($R$3,0,0,'Données projet'!$E$9+1,1))-AVERAGE(OFFSET($H$3,0,0,'Données projet'!$E$9+1,1))</f>
        <v>482.28841373508675</v>
      </c>
      <c r="T47" s="59">
        <f t="shared" si="34"/>
        <v>746.97309214631684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103.93682789533834</v>
      </c>
      <c r="AA47" s="21">
        <f>EXP(-LN(2)/25)*AA46+(1-EXP(-LN(2)/25))/(LN(2)/25)*Calculateur!V47*Calculateur!X47*VLOOKUP('Données projet'!$B$9,Paramètres!$A$1:$I$89,3,0)*0.475*44/12</f>
        <v>23.468856795393847</v>
      </c>
      <c r="AB47" s="21">
        <f>EXP(-LN(2)/2)*AB46+(1-EXP(-LN(2)/2))/(LN(2)/2)*V47*Y47*VLOOKUP('Données projet'!$B$9,Paramètres!$A$1:$I$89,3,0)*0.475*44/12</f>
        <v>6.4137908288832488</v>
      </c>
      <c r="AC47" s="22">
        <f t="shared" si="3"/>
        <v>133.81947551961542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11.5</v>
      </c>
      <c r="AI47" s="13">
        <f>IF('Données projet'!$A$62&gt;35,AI46+AH47-AQ46,IF(A47&lt;'Données projet'!$A$62,$AF$205^A47,IF(A47='Données projet'!$A$62,'Données projet'!$B$62,AI46+AH47-AQ46)))</f>
        <v>265.7759999999999</v>
      </c>
      <c r="AJ47" s="13">
        <f>AI47*VLOOKUP('Données projet'!$B$10,Paramètres!$A$1:$I$89,3,0)*VLOOKUP('Données projet'!$B$10,Paramètres!$A$1:$I$89,5,0)</f>
        <v>124.38316799999996</v>
      </c>
      <c r="AK47" s="13">
        <f t="shared" si="35"/>
        <v>32.695156985594174</v>
      </c>
      <c r="AL47" s="20">
        <f t="shared" si="4"/>
        <v>273.57808268324311</v>
      </c>
      <c r="AM47" s="59">
        <f t="shared" si="5"/>
        <v>566.91141601657637</v>
      </c>
      <c r="AN47" s="59">
        <f ca="1">AVERAGE(OFFSET($AM$3,0,0,'Données projet'!$E$10+1,1))-AVERAGE(OFFSET($H$3,0,0,'Données projet'!$E$10+1,1))</f>
        <v>259.91478350500478</v>
      </c>
      <c r="AO47" s="59">
        <f t="shared" si="36"/>
        <v>192.27194887051007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20.044892937490296</v>
      </c>
      <c r="AV47" s="21">
        <f>EXP(-LN(2)/25)*AV46+(1-EXP(-LN(2)/25))/(LN(2)/25)*Calculateur!AQ47*Calculateur!AS47*VLOOKUP('Données projet'!$B$10,Paramètres!$A$1:$I$89,3,0)*0.475*44/12</f>
        <v>7.5967375571711617</v>
      </c>
      <c r="AW47" s="21">
        <f>EXP(-LN(2)/2)*AW46+(1-EXP(-LN(2)/2))/(LN(2)/2)*AQ47*AT47*VLOOKUP('Données projet'!$B$10,Paramètres!$A$1:$I$89,3,0)*0.475*44/12</f>
        <v>0.98642889843404402</v>
      </c>
      <c r="AX47" s="21">
        <f t="shared" si="6"/>
        <v>28.628059393095501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20</v>
      </c>
      <c r="BD47" s="12">
        <f>IF('Données projet'!$A$88&gt;35,BD46+BC47-BL46,IF(A47&lt;'Données projet'!$A$88,$BA$205^A47,IF(A47='Données projet'!$A$88,'Données projet'!$B$88,BD46+BC47-BL46)))</f>
        <v>364.00000000000006</v>
      </c>
      <c r="BE47" s="13">
        <f>BD47*VLOOKUP('Données projet'!$B$11,Paramètres!$A$1:$I$89,3,0)*VLOOKUP('Données projet'!$B$11,Paramètres!$A$1:$I$89,5,0)</f>
        <v>217.67200000000005</v>
      </c>
      <c r="BF47" s="13">
        <f t="shared" si="37"/>
        <v>53.60859357546007</v>
      </c>
      <c r="BG47" s="20">
        <f t="shared" si="7"/>
        <v>472.48036714392634</v>
      </c>
      <c r="BH47" s="59">
        <f t="shared" si="8"/>
        <v>765.81370047725966</v>
      </c>
      <c r="BI47" s="59">
        <f ca="1">AVERAGE(OFFSET($BH$3,0,0,'Données projet'!$E$11+1,1))-AVERAGE(OFFSET($H$3,0,0,'Données projet'!$E$11+1,1))</f>
        <v>284.60021367910457</v>
      </c>
      <c r="BJ47" s="59">
        <f t="shared" si="38"/>
        <v>301.41905904220812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41.31242109923398</v>
      </c>
      <c r="BQ47" s="21">
        <f>EXP(-LN(2)/25)*BQ46+(1-EXP(-LN(2)/25))/(LN(2)/25)*Calculateur!BL47*Calculateur!BN47*VLOOKUP('Données projet'!$B$11,Paramètres!$A$1:$I$89,3,0)*0.475*44/12</f>
        <v>10.457651561533879</v>
      </c>
      <c r="BR47" s="21">
        <f>EXP(-LN(2)/2)*BR46+(1-EXP(-LN(2)/2))/(LN(2)/2)*BL47*BO47*VLOOKUP('Données projet'!$B$11,Paramètres!$A$1:$I$89,3,0)*0.475*44/12</f>
        <v>1.3325871081905294</v>
      </c>
      <c r="BS47" s="22">
        <f t="shared" si="9"/>
        <v>53.102659768958389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24.8</v>
      </c>
      <c r="BY47" s="12">
        <f>IF('Données projet'!$A$114&gt;35,BY46+BX47-CG46,IF(A47&lt;'Données projet'!$A$114,$BV$205^A47,IF(A47='Données projet'!$A$114,'Données projet'!$B$114,BY46+BX47-CG46)))</f>
        <v>661.1999999999997</v>
      </c>
      <c r="BZ47" s="13">
        <f>BY47*VLOOKUP('Données projet'!$B$12,Paramètres!$A$1:$I$89,3,0)*VLOOKUP('Données projet'!$B$12,Paramètres!$A$1:$I$89,5,0)</f>
        <v>369.61079999999981</v>
      </c>
      <c r="CA47" s="13">
        <f t="shared" si="39"/>
        <v>85.587677206936931</v>
      </c>
      <c r="CB47" s="20">
        <f t="shared" si="10"/>
        <v>792.80401446874805</v>
      </c>
      <c r="CC47" s="59">
        <f t="shared" si="11"/>
        <v>1086.1373478020814</v>
      </c>
      <c r="CD47" s="59">
        <f ca="1">AVERAGE(OFFSET($CC$3,0,0,'Données projet'!$E$12+1,1))-AVERAGE(OFFSET($H$3,0,0,'Données projet'!$E$12+1,1))</f>
        <v>490.96084572840579</v>
      </c>
      <c r="CE47" s="59">
        <f t="shared" si="40"/>
        <v>597.91658789908263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68.739873699474472</v>
      </c>
      <c r="CL47" s="21">
        <f>EXP(-LN(2)/25)*CL46+(1-EXP(-LN(2)/25))/(LN(2)/25)*Calculateur!CG47*Calculateur!CI47*VLOOKUP('Données projet'!$B$12,Paramètres!$A$1:$I$89,3,0)*0.475*44/12</f>
        <v>20.145530614722315</v>
      </c>
      <c r="CM47" s="21">
        <f>EXP(-LN(2)/2)*CM46+(1-EXP(-LN(2)/2))/(LN(2)/2)*CG47*CJ47*VLOOKUP('Données projet'!$B$12,Paramètres!$A$1:$I$89,3,0)*0.475*44/12</f>
        <v>1.9426724459533351</v>
      </c>
      <c r="CN47" s="22">
        <f t="shared" si="12"/>
        <v>90.828076760150125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17.666666666666668</v>
      </c>
      <c r="N48" s="13">
        <f>IF('Données projet'!$A$36&gt;35,N47+M48-V47,IF(A48&lt;'Données projet'!$A$36,$K$205^A48,IF(A48='Données projet'!$A$36,'Données projet'!$B$36,N47+M48-V47)))</f>
        <v>546.99999999999977</v>
      </c>
      <c r="O48" s="13">
        <f>N48*VLOOKUP('Données projet'!$B$9,Paramètres!$A$1:$I$89,3,0)*VLOOKUP('Données projet'!$B$9,Paramètres!$A$1:$I$89,5,0)</f>
        <v>341.32799999999986</v>
      </c>
      <c r="P48" s="13">
        <f t="shared" si="33"/>
        <v>79.774257349132355</v>
      </c>
      <c r="Q48" s="20">
        <f t="shared" si="53"/>
        <v>733.41976488307193</v>
      </c>
      <c r="R48" s="59">
        <f t="shared" si="0"/>
        <v>1026.7530982164053</v>
      </c>
      <c r="S48" s="59">
        <f ca="1">AVERAGE(OFFSET($R$3,0,0,'Données projet'!$E$9+1,1))-AVERAGE(OFFSET($H$3,0,0,'Données projet'!$E$9+1,1))</f>
        <v>482.28841373508675</v>
      </c>
      <c r="T48" s="59">
        <f t="shared" si="34"/>
        <v>746.97309214631684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101.89869009551602</v>
      </c>
      <c r="AA48" s="21">
        <f>EXP(-LN(2)/25)*AA47+(1-EXP(-LN(2)/25))/(LN(2)/25)*Calculateur!V48*Calculateur!X48*VLOOKUP('Données projet'!$B$9,Paramètres!$A$1:$I$89,3,0)*0.475*44/12</f>
        <v>22.827099672150261</v>
      </c>
      <c r="AB48" s="21">
        <f>EXP(-LN(2)/2)*AB47+(1-EXP(-LN(2)/2))/(LN(2)/2)*V48*Y48*VLOOKUP('Données projet'!$B$9,Paramètres!$A$1:$I$89,3,0)*0.475*44/12</f>
        <v>4.535234988215433</v>
      </c>
      <c r="AC48" s="22">
        <f t="shared" si="3"/>
        <v>129.26102475588169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11.5</v>
      </c>
      <c r="AI48" s="13">
        <f>IF('Données projet'!$A$62&gt;35,AI47+AH48-AQ47,IF(A48&lt;'Données projet'!$A$62,$AF$205^A48,IF(A48='Données projet'!$A$62,'Données projet'!$B$62,AI47+AH48-AQ47)))</f>
        <v>277.2759999999999</v>
      </c>
      <c r="AJ48" s="13">
        <f>AI48*VLOOKUP('Données projet'!$B$10,Paramètres!$A$1:$I$89,3,0)*VLOOKUP('Données projet'!$B$10,Paramètres!$A$1:$I$89,5,0)</f>
        <v>129.76516799999996</v>
      </c>
      <c r="AK48" s="13">
        <f t="shared" si="35"/>
        <v>33.942090843367737</v>
      </c>
      <c r="AL48" s="20">
        <f t="shared" si="4"/>
        <v>285.12347581886542</v>
      </c>
      <c r="AM48" s="59">
        <f t="shared" si="5"/>
        <v>578.45680915219873</v>
      </c>
      <c r="AN48" s="59">
        <f ca="1">AVERAGE(OFFSET($AM$3,0,0,'Données projet'!$E$10+1,1))-AVERAGE(OFFSET($H$3,0,0,'Données projet'!$E$10+1,1))</f>
        <v>259.91478350500478</v>
      </c>
      <c r="AO48" s="59">
        <f t="shared" si="36"/>
        <v>192.27194887051007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19.651824813163568</v>
      </c>
      <c r="AV48" s="21">
        <f>EXP(-LN(2)/25)*AV47+(1-EXP(-LN(2)/25))/(LN(2)/25)*Calculateur!AQ48*Calculateur!AS48*VLOOKUP('Données projet'!$B$10,Paramètres!$A$1:$I$89,3,0)*0.475*44/12</f>
        <v>7.3890043691752512</v>
      </c>
      <c r="AW48" s="21">
        <f>EXP(-LN(2)/2)*AW47+(1-EXP(-LN(2)/2))/(LN(2)/2)*AQ48*AT48*VLOOKUP('Données projet'!$B$10,Paramètres!$A$1:$I$89,3,0)*0.475*44/12</f>
        <v>0.69751056324108873</v>
      </c>
      <c r="AX48" s="21">
        <f t="shared" si="6"/>
        <v>27.738339745579907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384</v>
      </c>
      <c r="BB48" s="12">
        <f>VLOOKUP(A48,'Données projet'!$A$87:$I$107,9,0)</f>
        <v>20</v>
      </c>
      <c r="BC48" s="12">
        <f t="array" ref="BC48">INDEX(BB:BB,MIN(IF(ISNUMBER(BB48:BB244),ROW(BB48:BB244),"")))</f>
        <v>20</v>
      </c>
      <c r="BD48" s="12">
        <f>IF('Données projet'!$A$88&gt;35,BD47+BC48-BL47,IF(A48&lt;'Données projet'!$A$88,$BA$205^A48,IF(A48='Données projet'!$A$88,'Données projet'!$B$88,BD47+BC48-BL47)))</f>
        <v>384.00000000000006</v>
      </c>
      <c r="BE48" s="13">
        <f>BD48*VLOOKUP('Données projet'!$B$11,Paramètres!$A$1:$I$89,3,0)*VLOOKUP('Données projet'!$B$11,Paramètres!$A$1:$I$89,5,0)</f>
        <v>229.63200000000006</v>
      </c>
      <c r="BF48" s="13">
        <f t="shared" si="37"/>
        <v>56.20310391330667</v>
      </c>
      <c r="BG48" s="20">
        <f t="shared" si="7"/>
        <v>497.82947264900918</v>
      </c>
      <c r="BH48" s="59">
        <f t="shared" si="8"/>
        <v>791.16280598234243</v>
      </c>
      <c r="BI48" s="59">
        <f ca="1">AVERAGE(OFFSET($BH$3,0,0,'Données projet'!$E$11+1,1))-AVERAGE(OFFSET($H$3,0,0,'Données projet'!$E$11+1,1))</f>
        <v>284.60021367910457</v>
      </c>
      <c r="BJ48" s="59">
        <f t="shared" si="38"/>
        <v>301.41905904220812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57</v>
      </c>
      <c r="BM48" s="16">
        <f>IF(ISNA(VLOOKUP(A48,'Données projet'!$A$87:$I$107,5,0)),0%,VLOOKUP(A48,'Données projet'!$A$87:$I$107,5,0)*VLOOKUP('Données projet'!$B$11,Paramètres!$A$1:$I$89,7,0))</f>
        <v>0.315</v>
      </c>
      <c r="BN48" s="16">
        <f>IF(ISNA(VLOOKUP(A48,'Données projet'!$A$87:$I$107,6,0)),0%,VLOOKUP(A48,'Données projet'!$A$87:$I$107,6,0)*VLOOKUP('Données projet'!$B$11,Paramètres!$A$1:$I$89,7,0))</f>
        <v>7.5600000000000001E-2</v>
      </c>
      <c r="BO48" s="16">
        <f>IF(ISNA(VLOOKUP(A48,'Données projet'!$A$87:$I$107,7,0)),0%,VLOOKUP(A48,'Données projet'!$A$87:$I$107,7,0))</f>
        <v>0.13200000000000001</v>
      </c>
      <c r="BP48" s="21">
        <f>EXP(-LN(2)/35)*BP47+(1-EXP(-LN(2)/35))/(LN(2)/35)*BL48*BM48*VLOOKUP('Données projet'!$B$11,Paramètres!$A$1:$I$89,3,0)*0.475*44/12</f>
        <v>54.745751668422102</v>
      </c>
      <c r="BQ48" s="21">
        <f>EXP(-LN(2)/25)*BQ47+(1-EXP(-LN(2)/25))/(LN(2)/25)*Calculateur!BL48*Calculateur!BN48*VLOOKUP('Données projet'!$B$11,Paramètres!$A$1:$I$89,3,0)*0.475*44/12</f>
        <v>13.576652951413939</v>
      </c>
      <c r="BR48" s="21">
        <f>EXP(-LN(2)/2)*BR47+(1-EXP(-LN(2)/2))/(LN(2)/2)*BL48*BO48*VLOOKUP('Données projet'!$B$11,Paramètres!$A$1:$I$89,3,0)*0.475*44/12</f>
        <v>6.0365930330635944</v>
      </c>
      <c r="BS48" s="22">
        <f t="shared" si="9"/>
        <v>74.358997652899632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686</v>
      </c>
      <c r="BW48" s="12">
        <f>VLOOKUP(A48,'Données projet'!$A$113:$I$133,9,0)</f>
        <v>24.8</v>
      </c>
      <c r="BX48" s="12">
        <f t="array" ref="BX48">INDEX(BW:BW,MIN(IF(ISNUMBER(BW48:BW244),ROW(BW48:BW244),"")))</f>
        <v>24.8</v>
      </c>
      <c r="BY48" s="12">
        <f>IF('Données projet'!$A$114&gt;35,BY47+BX48-CG47,IF(A48&lt;'Données projet'!$A$114,$BV$205^A48,IF(A48='Données projet'!$A$114,'Données projet'!$B$114,BY47+BX48-CG47)))</f>
        <v>685.99999999999966</v>
      </c>
      <c r="BZ48" s="13">
        <f>BY48*VLOOKUP('Données projet'!$B$12,Paramètres!$A$1:$I$89,3,0)*VLOOKUP('Données projet'!$B$12,Paramètres!$A$1:$I$89,5,0)</f>
        <v>383.47399999999982</v>
      </c>
      <c r="CA48" s="13">
        <f t="shared" si="39"/>
        <v>88.418089567872116</v>
      </c>
      <c r="CB48" s="20">
        <f t="shared" si="10"/>
        <v>821.87872266404372</v>
      </c>
      <c r="CC48" s="59">
        <f t="shared" si="11"/>
        <v>1115.2120559973771</v>
      </c>
      <c r="CD48" s="59">
        <f ca="1">AVERAGE(OFFSET($CC$3,0,0,'Données projet'!$E$12+1,1))-AVERAGE(OFFSET($H$3,0,0,'Données projet'!$E$12+1,1))</f>
        <v>490.96084572840579</v>
      </c>
      <c r="CE48" s="59">
        <f t="shared" si="40"/>
        <v>597.91658789908263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64</v>
      </c>
      <c r="CH48" s="16">
        <f>IF(ISNA(VLOOKUP(A48,'Données projet'!$A$113:$I$133,5,0)),0%,VLOOKUP(A48,'Données projet'!$A$113:$I$133,5,0)*VLOOKUP('Données projet'!$B$12,Paramètres!$A$1:$I$89,7,0))</f>
        <v>0.38500000000000001</v>
      </c>
      <c r="CI48" s="16">
        <f>IF(ISNA(VLOOKUP(A48,'Données projet'!$A$113:$I$133,6,0)),0%,VLOOKUP(A48,'Données projet'!$A$113:$I$133,6,0)*VLOOKUP('Données projet'!$B$12,Paramètres!$A$1:$I$89,7,0))</f>
        <v>9.240000000000001E-2</v>
      </c>
      <c r="CJ48" s="16">
        <f>IF(ISNA(VLOOKUP(A48,'Données projet'!$A$113:$I$133,7,0)),0%,VLOOKUP(A48,'Données projet'!$A$113:$I$133,7,0))</f>
        <v>0.13200000000000001</v>
      </c>
      <c r="CK48" s="21">
        <f>EXP(-LN(2)/35)*CK47+(1-EXP(-LN(2)/35))/(LN(2)/35)*CG48*CH48*VLOOKUP('Données projet'!$B$12,Paramètres!$A$1:$I$89,3,0)*0.475*44/12</f>
        <v>85.663707137165687</v>
      </c>
      <c r="CL48" s="21">
        <f>EXP(-LN(2)/25)*CL47+(1-EXP(-LN(2)/25))/(LN(2)/25)*Calculateur!CG48*Calculateur!CI48*VLOOKUP('Données projet'!$B$12,Paramètres!$A$1:$I$89,3,0)*0.475*44/12</f>
        <v>23.962611013957659</v>
      </c>
      <c r="CM48" s="21">
        <f>EXP(-LN(2)/2)*CM47+(1-EXP(-LN(2)/2))/(LN(2)/2)*CG48*CJ48*VLOOKUP('Données projet'!$B$12,Paramètres!$A$1:$I$89,3,0)*0.475*44/12</f>
        <v>6.7205668934303624</v>
      </c>
      <c r="CN48" s="22">
        <f t="shared" si="12"/>
        <v>116.3468850445537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17.666666666666668</v>
      </c>
      <c r="N49" s="13">
        <f>IF('Données projet'!$A$36&gt;35,N48+M49-V48,IF(A49&lt;'Données projet'!$A$36,$K$205^A49,IF(A49='Données projet'!$A$36,'Données projet'!$B$36,N48+M49-V48)))</f>
        <v>564.6666666666664</v>
      </c>
      <c r="O49" s="13">
        <f>N49*VLOOKUP('Données projet'!$B$9,Paramètres!$A$1:$I$89,3,0)*VLOOKUP('Données projet'!$B$9,Paramètres!$A$1:$I$89,5,0)</f>
        <v>352.3519999999998</v>
      </c>
      <c r="P49" s="13">
        <f t="shared" si="33"/>
        <v>82.046623524629794</v>
      </c>
      <c r="Q49" s="20">
        <f t="shared" si="53"/>
        <v>756.57760263872979</v>
      </c>
      <c r="R49" s="59">
        <f t="shared" si="0"/>
        <v>1049.910935972063</v>
      </c>
      <c r="S49" s="59">
        <f ca="1">AVERAGE(OFFSET($R$3,0,0,'Données projet'!$E$9+1,1))-AVERAGE(OFFSET($H$3,0,0,'Données projet'!$E$9+1,1))</f>
        <v>482.28841373508675</v>
      </c>
      <c r="T49" s="59">
        <f t="shared" si="34"/>
        <v>746.97309214631684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99.900518934806897</v>
      </c>
      <c r="AA49" s="21">
        <f>EXP(-LN(2)/25)*AA48+(1-EXP(-LN(2)/25))/(LN(2)/25)*Calculateur!V49*Calculateur!X49*VLOOKUP('Données projet'!$B$9,Paramètres!$A$1:$I$89,3,0)*0.475*44/12</f>
        <v>22.202891431190313</v>
      </c>
      <c r="AB49" s="21">
        <f>EXP(-LN(2)/2)*AB48+(1-EXP(-LN(2)/2))/(LN(2)/2)*V49*Y49*VLOOKUP('Données projet'!$B$9,Paramètres!$A$1:$I$89,3,0)*0.475*44/12</f>
        <v>3.2068954144416248</v>
      </c>
      <c r="AC49" s="22">
        <f t="shared" si="3"/>
        <v>125.31030578043882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11.5</v>
      </c>
      <c r="AI49" s="13">
        <f>IF('Données projet'!$A$62&gt;35,AI48+AH49-AQ48,IF(A49&lt;'Données projet'!$A$62,$AF$205^A49,IF(A49='Données projet'!$A$62,'Données projet'!$B$62,AI48+AH49-AQ48)))</f>
        <v>288.7759999999999</v>
      </c>
      <c r="AJ49" s="13">
        <f>AI49*VLOOKUP('Données projet'!$B$10,Paramètres!$A$1:$I$89,3,0)*VLOOKUP('Données projet'!$B$10,Paramètres!$A$1:$I$89,5,0)</f>
        <v>135.14716799999997</v>
      </c>
      <c r="AK49" s="13">
        <f t="shared" si="35"/>
        <v>35.183017591268509</v>
      </c>
      <c r="AL49" s="20">
        <f t="shared" si="4"/>
        <v>296.65840657145924</v>
      </c>
      <c r="AM49" s="59">
        <f t="shared" si="5"/>
        <v>589.99173990479255</v>
      </c>
      <c r="AN49" s="59">
        <f ca="1">AVERAGE(OFFSET($AM$3,0,0,'Données projet'!$E$10+1,1))-AVERAGE(OFFSET($H$3,0,0,'Données projet'!$E$10+1,1))</f>
        <v>259.91478350500478</v>
      </c>
      <c r="AO49" s="59">
        <f t="shared" si="36"/>
        <v>192.27194887051007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19.266464515007005</v>
      </c>
      <c r="AV49" s="21">
        <f>EXP(-LN(2)/25)*AV48+(1-EXP(-LN(2)/25))/(LN(2)/25)*Calculateur!AQ49*Calculateur!AS49*VLOOKUP('Données projet'!$B$10,Paramètres!$A$1:$I$89,3,0)*0.475*44/12</f>
        <v>7.1869516561293016</v>
      </c>
      <c r="AW49" s="21">
        <f>EXP(-LN(2)/2)*AW48+(1-EXP(-LN(2)/2))/(LN(2)/2)*AQ49*AT49*VLOOKUP('Données projet'!$B$10,Paramètres!$A$1:$I$89,3,0)*0.475*44/12</f>
        <v>0.49321444921702207</v>
      </c>
      <c r="AX49" s="21">
        <f t="shared" si="6"/>
        <v>26.946630620353329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17.399999999999999</v>
      </c>
      <c r="BD49" s="12">
        <f>IF('Données projet'!$A$88&gt;35,BD48+BC49-BL48,IF(A49&lt;'Données projet'!$A$88,$BA$205^A49,IF(A49='Données projet'!$A$88,'Données projet'!$B$88,BD48+BC49-BL48)))</f>
        <v>344.40000000000003</v>
      </c>
      <c r="BE49" s="13">
        <f>BD49*VLOOKUP('Données projet'!$B$11,Paramètres!$A$1:$I$89,3,0)*VLOOKUP('Données projet'!$B$11,Paramètres!$A$1:$I$89,5,0)</f>
        <v>205.95120000000006</v>
      </c>
      <c r="BF49" s="13">
        <f t="shared" si="37"/>
        <v>51.049821044529857</v>
      </c>
      <c r="BG49" s="20">
        <f t="shared" si="7"/>
        <v>447.61011165255627</v>
      </c>
      <c r="BH49" s="59">
        <f t="shared" si="8"/>
        <v>740.94344498588953</v>
      </c>
      <c r="BI49" s="59">
        <f ca="1">AVERAGE(OFFSET($BH$3,0,0,'Données projet'!$E$11+1,1))-AVERAGE(OFFSET($H$3,0,0,'Données projet'!$E$11+1,1))</f>
        <v>284.60021367910457</v>
      </c>
      <c r="BJ49" s="59">
        <f t="shared" si="38"/>
        <v>301.41905904220812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53.672220869815717</v>
      </c>
      <c r="BQ49" s="21">
        <f>EXP(-LN(2)/25)*BQ48+(1-EXP(-LN(2)/25))/(LN(2)/25)*Calculateur!BL49*Calculateur!BN49*VLOOKUP('Données projet'!$B$11,Paramètres!$A$1:$I$89,3,0)*0.475*44/12</f>
        <v>13.205398662492376</v>
      </c>
      <c r="BR49" s="21">
        <f>EXP(-LN(2)/2)*BR48+(1-EXP(-LN(2)/2))/(LN(2)/2)*BL49*BO49*VLOOKUP('Données projet'!$B$11,Paramètres!$A$1:$I$89,3,0)*0.475*44/12</f>
        <v>4.2685158689427363</v>
      </c>
      <c r="BS49" s="22">
        <f t="shared" si="9"/>
        <v>71.146135401250831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20.399999999999999</v>
      </c>
      <c r="BY49" s="12">
        <f>IF('Données projet'!$A$114&gt;35,BY48+BX49-CG48,IF(A49&lt;'Données projet'!$A$114,$BV$205^A49,IF(A49='Données projet'!$A$114,'Données projet'!$B$114,BY48+BX49-CG48)))</f>
        <v>642.39999999999964</v>
      </c>
      <c r="BZ49" s="13">
        <f>BY49*VLOOKUP('Données projet'!$B$12,Paramètres!$A$1:$I$89,3,0)*VLOOKUP('Données projet'!$B$12,Paramètres!$A$1:$I$89,5,0)</f>
        <v>359.10159999999985</v>
      </c>
      <c r="CA49" s="13">
        <f t="shared" si="39"/>
        <v>83.433815871723468</v>
      </c>
      <c r="CB49" s="20">
        <f t="shared" si="10"/>
        <v>770.74918264325152</v>
      </c>
      <c r="CC49" s="59">
        <f t="shared" si="11"/>
        <v>1064.0825159765848</v>
      </c>
      <c r="CD49" s="59">
        <f ca="1">AVERAGE(OFFSET($CC$3,0,0,'Données projet'!$E$12+1,1))-AVERAGE(OFFSET($H$3,0,0,'Données projet'!$E$12+1,1))</f>
        <v>490.96084572840579</v>
      </c>
      <c r="CE49" s="59">
        <f t="shared" si="40"/>
        <v>597.91658789908263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83.983894089907992</v>
      </c>
      <c r="CL49" s="21">
        <f>EXP(-LN(2)/25)*CL48+(1-EXP(-LN(2)/25))/(LN(2)/25)*Calculateur!CG49*Calculateur!CI49*VLOOKUP('Données projet'!$B$12,Paramètres!$A$1:$I$89,3,0)*0.475*44/12</f>
        <v>23.30735215564204</v>
      </c>
      <c r="CM49" s="21">
        <f>EXP(-LN(2)/2)*CM48+(1-EXP(-LN(2)/2))/(LN(2)/2)*CG49*CJ49*VLOOKUP('Données projet'!$B$12,Paramètres!$A$1:$I$89,3,0)*0.475*44/12</f>
        <v>4.7521584237624195</v>
      </c>
      <c r="CN49" s="22">
        <f t="shared" si="12"/>
        <v>112.04340466931245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17.666666666666668</v>
      </c>
      <c r="N50" s="13">
        <f>IF('Données projet'!$A$36&gt;35,N49+M50-V49,IF(A50&lt;'Données projet'!$A$36,$K$205^A50,IF(A50='Données projet'!$A$36,'Données projet'!$B$36,N49+M50-V49)))</f>
        <v>582.33333333333303</v>
      </c>
      <c r="O50" s="13">
        <f>N50*VLOOKUP('Données projet'!$B$9,Paramètres!$A$1:$I$89,3,0)*VLOOKUP('Données projet'!$B$9,Paramètres!$A$1:$I$89,5,0)</f>
        <v>363.37599999999986</v>
      </c>
      <c r="P50" s="13">
        <f t="shared" si="33"/>
        <v>84.310727835802666</v>
      </c>
      <c r="Q50" s="20">
        <f t="shared" si="53"/>
        <v>779.72105098068926</v>
      </c>
      <c r="R50" s="59">
        <f t="shared" si="0"/>
        <v>1073.0543843140226</v>
      </c>
      <c r="S50" s="59">
        <f ca="1">AVERAGE(OFFSET($R$3,0,0,'Données projet'!$E$9+1,1))-AVERAGE(OFFSET($H$3,0,0,'Données projet'!$E$9+1,1))</f>
        <v>482.28841373508675</v>
      </c>
      <c r="T50" s="59">
        <f t="shared" si="34"/>
        <v>746.97309214631684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97.941530691795222</v>
      </c>
      <c r="AA50" s="21">
        <f>EXP(-LN(2)/25)*AA49+(1-EXP(-LN(2)/25))/(LN(2)/25)*Calculateur!V50*Calculateur!X50*VLOOKUP('Données projet'!$B$9,Paramètres!$A$1:$I$89,3,0)*0.475*44/12</f>
        <v>21.595752197405098</v>
      </c>
      <c r="AB50" s="21">
        <f>EXP(-LN(2)/2)*AB49+(1-EXP(-LN(2)/2))/(LN(2)/2)*V50*Y50*VLOOKUP('Données projet'!$B$9,Paramètres!$A$1:$I$89,3,0)*0.475*44/12</f>
        <v>2.267617494107717</v>
      </c>
      <c r="AC50" s="22">
        <f t="shared" si="3"/>
        <v>121.80490038330804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11.5</v>
      </c>
      <c r="AI50" s="13">
        <f>IF('Données projet'!$A$62&gt;35,AI49+AH50-AQ49,IF(A50&lt;'Données projet'!$A$62,$AF$205^A50,IF(A50='Données projet'!$A$62,'Données projet'!$B$62,AI49+AH50-AQ49)))</f>
        <v>300.2759999999999</v>
      </c>
      <c r="AJ50" s="13">
        <f>AI50*VLOOKUP('Données projet'!$B$10,Paramètres!$A$1:$I$89,3,0)*VLOOKUP('Données projet'!$B$10,Paramètres!$A$1:$I$89,5,0)</f>
        <v>140.52916799999994</v>
      </c>
      <c r="AK50" s="13">
        <f t="shared" si="35"/>
        <v>36.41820382302847</v>
      </c>
      <c r="AL50" s="20">
        <f t="shared" si="4"/>
        <v>308.18333925844115</v>
      </c>
      <c r="AM50" s="59">
        <f t="shared" si="5"/>
        <v>601.51667259177452</v>
      </c>
      <c r="AN50" s="59">
        <f ca="1">AVERAGE(OFFSET($AM$3,0,0,'Données projet'!$E$10+1,1))-AVERAGE(OFFSET($H$3,0,0,'Données projet'!$E$10+1,1))</f>
        <v>259.91478350500478</v>
      </c>
      <c r="AO50" s="59">
        <f t="shared" si="36"/>
        <v>192.27194887051007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18.88866089725072</v>
      </c>
      <c r="AV50" s="21">
        <f>EXP(-LN(2)/25)*AV49+(1-EXP(-LN(2)/25))/(LN(2)/25)*Calculateur!AQ50*Calculateur!AS50*VLOOKUP('Données projet'!$B$10,Paramètres!$A$1:$I$89,3,0)*0.475*44/12</f>
        <v>6.990424085147084</v>
      </c>
      <c r="AW50" s="21">
        <f>EXP(-LN(2)/2)*AW49+(1-EXP(-LN(2)/2))/(LN(2)/2)*AQ50*AT50*VLOOKUP('Données projet'!$B$10,Paramètres!$A$1:$I$89,3,0)*0.475*44/12</f>
        <v>0.34875528162054442</v>
      </c>
      <c r="AX50" s="21">
        <f t="shared" si="6"/>
        <v>26.227840264018347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17.399999999999999</v>
      </c>
      <c r="BD50" s="12">
        <f>IF('Données projet'!$A$88&gt;35,BD49+BC50-BL49,IF(A50&lt;'Données projet'!$A$88,$BA$205^A50,IF(A50='Données projet'!$A$88,'Données projet'!$B$88,BD49+BC50-BL49)))</f>
        <v>361.8</v>
      </c>
      <c r="BE50" s="13">
        <f>BD50*VLOOKUP('Données projet'!$B$11,Paramètres!$A$1:$I$89,3,0)*VLOOKUP('Données projet'!$B$11,Paramètres!$A$1:$I$89,5,0)</f>
        <v>216.35640000000004</v>
      </c>
      <c r="BF50" s="13">
        <f t="shared" si="37"/>
        <v>53.322199188237285</v>
      </c>
      <c r="BG50" s="20">
        <f t="shared" si="7"/>
        <v>469.69022691951341</v>
      </c>
      <c r="BH50" s="59">
        <f t="shared" si="8"/>
        <v>763.02356025284666</v>
      </c>
      <c r="BI50" s="59">
        <f ca="1">AVERAGE(OFFSET($BH$3,0,0,'Données projet'!$E$11+1,1))-AVERAGE(OFFSET($H$3,0,0,'Données projet'!$E$11+1,1))</f>
        <v>284.60021367910457</v>
      </c>
      <c r="BJ50" s="59">
        <f t="shared" si="38"/>
        <v>301.41905904220812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52.619741355380867</v>
      </c>
      <c r="BQ50" s="21">
        <f>EXP(-LN(2)/25)*BQ49+(1-EXP(-LN(2)/25))/(LN(2)/25)*Calculateur!BL50*Calculateur!BN50*VLOOKUP('Données projet'!$B$11,Paramètres!$A$1:$I$89,3,0)*0.475*44/12</f>
        <v>12.844296341624787</v>
      </c>
      <c r="BR50" s="21">
        <f>EXP(-LN(2)/2)*BR49+(1-EXP(-LN(2)/2))/(LN(2)/2)*BL50*BO50*VLOOKUP('Données projet'!$B$11,Paramètres!$A$1:$I$89,3,0)*0.475*44/12</f>
        <v>3.0182965165317972</v>
      </c>
      <c r="BS50" s="22">
        <f t="shared" si="9"/>
        <v>68.482334213537442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20.399999999999999</v>
      </c>
      <c r="BY50" s="12">
        <f>IF('Données projet'!$A$114&gt;35,BY49+BX50-CG49,IF(A50&lt;'Données projet'!$A$114,$BV$205^A50,IF(A50='Données projet'!$A$114,'Données projet'!$B$114,BY49+BX50-CG49)))</f>
        <v>662.79999999999961</v>
      </c>
      <c r="BZ50" s="13">
        <f>BY50*VLOOKUP('Données projet'!$B$12,Paramètres!$A$1:$I$89,3,0)*VLOOKUP('Données projet'!$B$12,Paramètres!$A$1:$I$89,5,0)</f>
        <v>370.50519999999983</v>
      </c>
      <c r="CA50" s="13">
        <f t="shared" si="39"/>
        <v>85.770652719303072</v>
      </c>
      <c r="CB50" s="20">
        <f t="shared" si="10"/>
        <v>794.6804434861192</v>
      </c>
      <c r="CC50" s="59">
        <f t="shared" si="11"/>
        <v>1088.0137768194525</v>
      </c>
      <c r="CD50" s="59">
        <f ca="1">AVERAGE(OFFSET($CC$3,0,0,'Données projet'!$E$12+1,1))-AVERAGE(OFFSET($H$3,0,0,'Données projet'!$E$12+1,1))</f>
        <v>490.96084572840579</v>
      </c>
      <c r="CE50" s="59">
        <f t="shared" si="40"/>
        <v>597.91658789908263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82.337021151922229</v>
      </c>
      <c r="CL50" s="21">
        <f>EXP(-LN(2)/25)*CL49+(1-EXP(-LN(2)/25))/(LN(2)/25)*Calculateur!CG50*Calculateur!CI50*VLOOKUP('Données projet'!$B$12,Paramètres!$A$1:$I$89,3,0)*0.475*44/12</f>
        <v>22.670011385265628</v>
      </c>
      <c r="CM50" s="21">
        <f>EXP(-LN(2)/2)*CM49+(1-EXP(-LN(2)/2))/(LN(2)/2)*CG50*CJ50*VLOOKUP('Données projet'!$B$12,Paramètres!$A$1:$I$89,3,0)*0.475*44/12</f>
        <v>3.3602834467151821</v>
      </c>
      <c r="CN50" s="22">
        <f t="shared" si="12"/>
        <v>108.36731598390304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600</v>
      </c>
      <c r="L51" s="12">
        <f>VLOOKUP(A51,'Données projet'!$A$35:$I$55,9,0)</f>
        <v>17.666666666666668</v>
      </c>
      <c r="M51" s="12">
        <f t="array" ref="M51">INDEX(L:L,MIN(IF(ISNUMBER(L51:L247),ROW(L51:L247),"")))</f>
        <v>17.666666666666668</v>
      </c>
      <c r="N51" s="13">
        <f>IF('Données projet'!$A$36&gt;35,N50+M51-V50,IF(A51&lt;'Données projet'!$A$36,$K$205^A51,IF(A51='Données projet'!$A$36,'Données projet'!$B$36,N50+M51-V50)))</f>
        <v>599.99999999999966</v>
      </c>
      <c r="O51" s="13">
        <f>N51*VLOOKUP('Données projet'!$B$9,Paramètres!$A$1:$I$89,3,0)*VLOOKUP('Données projet'!$B$9,Paramètres!$A$1:$I$89,5,0)</f>
        <v>374.39999999999981</v>
      </c>
      <c r="P51" s="13">
        <f t="shared" si="33"/>
        <v>86.56684969744741</v>
      </c>
      <c r="Q51" s="20">
        <f t="shared" si="53"/>
        <v>802.85059655638725</v>
      </c>
      <c r="R51" s="59">
        <f t="shared" si="0"/>
        <v>1096.1839298897205</v>
      </c>
      <c r="S51" s="59">
        <f ca="1">AVERAGE(OFFSET($R$3,0,0,'Données projet'!$E$9+1,1))-AVERAGE(OFFSET($H$3,0,0,'Données projet'!$E$9+1,1))</f>
        <v>482.28841373508675</v>
      </c>
      <c r="T51" s="59">
        <f t="shared" si="34"/>
        <v>746.97309214631684</v>
      </c>
      <c r="U51" s="15">
        <f>IF(ISNA(VLOOKUP(A51,'Données projet'!$A$35:$I$55,3,0)),0,VLOOKUP(A51,'Données projet'!$A$35:$I$55,3,0))</f>
        <v>4</v>
      </c>
      <c r="V51" s="15">
        <f>IF(ISNA(VLOOKUP(A51,'Données projet'!$A$35:$I$55,4,0)),0,VLOOKUP(A51,'Données projet'!$A$35:$I$55,4,0))</f>
        <v>123</v>
      </c>
      <c r="W51" s="16">
        <f>IF(ISNA(VLOOKUP(A51,'Données projet'!$A$35:$I$55,5,0)),0%,VLOOKUP(A51,'Données projet'!$A$35:$I$55,5,0)*VLOOKUP('Données projet'!$B$9,Paramètres!$A$1:$I$89,7,0))</f>
        <v>0.42</v>
      </c>
      <c r="X51" s="16">
        <f>IF(ISNA(VLOOKUP(A51,'Données projet'!$A$35:$I$55,6,0)),0%,VLOOKUP(A51,'Données projet'!$A$35:$I$55,6,0)*VLOOKUP('Données projet'!$B$9,Paramètres!$A$1:$I$89,7,0))</f>
        <v>0.1008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138.78387654860029</v>
      </c>
      <c r="AA51" s="21">
        <f>EXP(-LN(2)/25)*AA50+(1-EXP(-LN(2)/25))/(LN(2)/25)*Calculateur!V51*Calculateur!X51*VLOOKUP('Données projet'!$B$9,Paramètres!$A$1:$I$89,3,0)*0.475*44/12</f>
        <v>31.227906168394085</v>
      </c>
      <c r="AB51" s="21">
        <f>EXP(-LN(2)/2)*AB50+(1-EXP(-LN(2)/2))/(LN(2)/2)*V51*Y51*VLOOKUP('Données projet'!$B$9,Paramètres!$A$1:$I$89,3,0)*0.475*44/12</f>
        <v>13.074392022787984</v>
      </c>
      <c r="AC51" s="22">
        <f t="shared" si="3"/>
        <v>183.08617473978236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11.5</v>
      </c>
      <c r="AI51" s="13">
        <f>IF('Données projet'!$A$62&gt;35,AI50+AH51-AQ50,IF(A51&lt;'Données projet'!$A$62,$AF$205^A51,IF(A51='Données projet'!$A$62,'Données projet'!$B$62,AI50+AH51-AQ50)))</f>
        <v>311.7759999999999</v>
      </c>
      <c r="AJ51" s="13">
        <f>AI51*VLOOKUP('Données projet'!$B$10,Paramètres!$A$1:$I$89,3,0)*VLOOKUP('Données projet'!$B$10,Paramètres!$A$1:$I$89,5,0)</f>
        <v>145.91116799999995</v>
      </c>
      <c r="AK51" s="13">
        <f t="shared" si="35"/>
        <v>37.647894555834959</v>
      </c>
      <c r="AL51" s="20">
        <f t="shared" si="4"/>
        <v>319.6987006180791</v>
      </c>
      <c r="AM51" s="59">
        <f t="shared" si="5"/>
        <v>613.03203395141236</v>
      </c>
      <c r="AN51" s="59">
        <f ca="1">AVERAGE(OFFSET($AM$3,0,0,'Données projet'!$E$10+1,1))-AVERAGE(OFFSET($H$3,0,0,'Données projet'!$E$10+1,1))</f>
        <v>259.91478350500478</v>
      </c>
      <c r="AO51" s="59">
        <f t="shared" si="36"/>
        <v>192.27194887051007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18.518265778001183</v>
      </c>
      <c r="AV51" s="21">
        <f>EXP(-LN(2)/25)*AV50+(1-EXP(-LN(2)/25))/(LN(2)/25)*Calculateur!AQ51*Calculateur!AS51*VLOOKUP('Données projet'!$B$10,Paramètres!$A$1:$I$89,3,0)*0.475*44/12</f>
        <v>6.7992705709283108</v>
      </c>
      <c r="AW51" s="21">
        <f>EXP(-LN(2)/2)*AW50+(1-EXP(-LN(2)/2))/(LN(2)/2)*AQ51*AT51*VLOOKUP('Données projet'!$B$10,Paramètres!$A$1:$I$89,3,0)*0.475*44/12</f>
        <v>0.24660722460851109</v>
      </c>
      <c r="AX51" s="21">
        <f t="shared" si="6"/>
        <v>25.564143573538004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17.399999999999999</v>
      </c>
      <c r="BD51" s="12">
        <f>IF('Données projet'!$A$88&gt;35,BD50+BC51-BL50,IF(A51&lt;'Données projet'!$A$88,$BA$205^A51,IF(A51='Données projet'!$A$88,'Données projet'!$B$88,BD50+BC51-BL50)))</f>
        <v>379.2</v>
      </c>
      <c r="BE51" s="13">
        <f>BD51*VLOOKUP('Données projet'!$B$11,Paramètres!$A$1:$I$89,3,0)*VLOOKUP('Données projet'!$B$11,Paramètres!$A$1:$I$89,5,0)</f>
        <v>226.76160000000002</v>
      </c>
      <c r="BF51" s="13">
        <f t="shared" si="37"/>
        <v>55.581886910575967</v>
      </c>
      <c r="BG51" s="20">
        <f t="shared" si="7"/>
        <v>491.74823970258643</v>
      </c>
      <c r="BH51" s="59">
        <f t="shared" si="8"/>
        <v>785.08157303591975</v>
      </c>
      <c r="BI51" s="59">
        <f ca="1">AVERAGE(OFFSET($BH$3,0,0,'Données projet'!$E$11+1,1))-AVERAGE(OFFSET($H$3,0,0,'Données projet'!$E$11+1,1))</f>
        <v>284.60021367910457</v>
      </c>
      <c r="BJ51" s="59">
        <f t="shared" si="38"/>
        <v>301.41905904220812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51.587900322274969</v>
      </c>
      <c r="BQ51" s="21">
        <f>EXP(-LN(2)/25)*BQ50+(1-EXP(-LN(2)/25))/(LN(2)/25)*Calculateur!BL51*Calculateur!BN51*VLOOKUP('Données projet'!$B$11,Paramètres!$A$1:$I$89,3,0)*0.475*44/12</f>
        <v>12.493068382710868</v>
      </c>
      <c r="BR51" s="21">
        <f>EXP(-LN(2)/2)*BR50+(1-EXP(-LN(2)/2))/(LN(2)/2)*BL51*BO51*VLOOKUP('Données projet'!$B$11,Paramètres!$A$1:$I$89,3,0)*0.475*44/12</f>
        <v>2.1342579344713681</v>
      </c>
      <c r="BS51" s="22">
        <f t="shared" si="9"/>
        <v>66.2152266394572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20.399999999999999</v>
      </c>
      <c r="BY51" s="12">
        <f>IF('Données projet'!$A$114&gt;35,BY50+BX51-CG50,IF(A51&lt;'Données projet'!$A$114,$BV$205^A51,IF(A51='Données projet'!$A$114,'Données projet'!$B$114,BY50+BX51-CG50)))</f>
        <v>683.19999999999959</v>
      </c>
      <c r="BZ51" s="13">
        <f>BY51*VLOOKUP('Données projet'!$B$12,Paramètres!$A$1:$I$89,3,0)*VLOOKUP('Données projet'!$B$12,Paramètres!$A$1:$I$89,5,0)</f>
        <v>381.90879999999981</v>
      </c>
      <c r="CA51" s="13">
        <f t="shared" si="39"/>
        <v>88.099131154986978</v>
      </c>
      <c r="CB51" s="20">
        <f t="shared" si="10"/>
        <v>818.59714676160195</v>
      </c>
      <c r="CC51" s="59">
        <f t="shared" si="11"/>
        <v>1111.9304800949353</v>
      </c>
      <c r="CD51" s="59">
        <f ca="1">AVERAGE(OFFSET($CC$3,0,0,'Données projet'!$E$12+1,1))-AVERAGE(OFFSET($H$3,0,0,'Données projet'!$E$12+1,1))</f>
        <v>490.96084572840579</v>
      </c>
      <c r="CE51" s="59">
        <f t="shared" si="40"/>
        <v>597.91658789908263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80.722442387757056</v>
      </c>
      <c r="CL51" s="21">
        <f>EXP(-LN(2)/25)*CL50+(1-EXP(-LN(2)/25))/(LN(2)/25)*Calculateur!CG51*Calculateur!CI51*VLOOKUP('Données projet'!$B$12,Paramètres!$A$1:$I$89,3,0)*0.475*44/12</f>
        <v>22.050098731771453</v>
      </c>
      <c r="CM51" s="21">
        <f>EXP(-LN(2)/2)*CM50+(1-EXP(-LN(2)/2))/(LN(2)/2)*CG51*CJ51*VLOOKUP('Données projet'!$B$12,Paramètres!$A$1:$I$89,3,0)*0.475*44/12</f>
        <v>2.3760792118812102</v>
      </c>
      <c r="CN51" s="22">
        <f t="shared" si="12"/>
        <v>105.14862033140972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16</v>
      </c>
      <c r="N52" s="13">
        <f>IF('Données projet'!$A$36&gt;35,N51+M52-V51,IF(A52&lt;'Données projet'!$A$36,$K$205^A52,IF(A52='Données projet'!$A$36,'Données projet'!$B$36,N51+M52-V51)))</f>
        <v>492.99999999999966</v>
      </c>
      <c r="O52" s="13">
        <f>N52*VLOOKUP('Données projet'!$B$9,Paramètres!$A$1:$I$89,3,0)*VLOOKUP('Données projet'!$B$9,Paramètres!$A$1:$I$89,5,0)</f>
        <v>307.63199999999978</v>
      </c>
      <c r="P52" s="13">
        <f t="shared" si="33"/>
        <v>72.774077039465496</v>
      </c>
      <c r="Q52" s="20">
        <f t="shared" si="53"/>
        <v>662.54058417706869</v>
      </c>
      <c r="R52" s="59">
        <f t="shared" si="0"/>
        <v>955.87391751040195</v>
      </c>
      <c r="S52" s="59">
        <f ca="1">AVERAGE(OFFSET($R$3,0,0,'Données projet'!$E$9+1,1))-AVERAGE(OFFSET($H$3,0,0,'Données projet'!$E$9+1,1))</f>
        <v>482.28841373508675</v>
      </c>
      <c r="T52" s="59">
        <f t="shared" si="34"/>
        <v>746.97309214631684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136.06240937928845</v>
      </c>
      <c r="AA52" s="21">
        <f>EXP(-LN(2)/25)*AA51+(1-EXP(-LN(2)/25))/(LN(2)/25)*Calculateur!V52*Calculateur!X52*VLOOKUP('Données projet'!$B$9,Paramètres!$A$1:$I$89,3,0)*0.475*44/12</f>
        <v>30.373977432015135</v>
      </c>
      <c r="AB52" s="21">
        <f>EXP(-LN(2)/2)*AB51+(1-EXP(-LN(2)/2))/(LN(2)/2)*V52*Y52*VLOOKUP('Données projet'!$B$9,Paramètres!$A$1:$I$89,3,0)*0.475*44/12</f>
        <v>9.2449912592046868</v>
      </c>
      <c r="AC52" s="22">
        <f t="shared" si="3"/>
        <v>175.68137807050826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11.5</v>
      </c>
      <c r="AI52" s="13">
        <f>IF('Données projet'!$A$62&gt;35,AI51+AH52-AQ51,IF(A52&lt;'Données projet'!$A$62,$AF$205^A52,IF(A52='Données projet'!$A$62,'Données projet'!$B$62,AI51+AH52-AQ51)))</f>
        <v>323.2759999999999</v>
      </c>
      <c r="AJ52" s="13">
        <f>AI52*VLOOKUP('Données projet'!$B$10,Paramètres!$A$1:$I$89,3,0)*VLOOKUP('Données projet'!$B$10,Paramètres!$A$1:$I$89,5,0)</f>
        <v>151.29316799999995</v>
      </c>
      <c r="AK52" s="13">
        <f t="shared" si="35"/>
        <v>38.872315707543763</v>
      </c>
      <c r="AL52" s="20">
        <f t="shared" si="4"/>
        <v>331.20488412397202</v>
      </c>
      <c r="AM52" s="59">
        <f t="shared" si="5"/>
        <v>624.53821745730534</v>
      </c>
      <c r="AN52" s="59">
        <f ca="1">AVERAGE(OFFSET($AM$3,0,0,'Données projet'!$E$10+1,1))-AVERAGE(OFFSET($H$3,0,0,'Données projet'!$E$10+1,1))</f>
        <v>259.91478350500478</v>
      </c>
      <c r="AO52" s="59">
        <f t="shared" si="36"/>
        <v>192.27194887051007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18.155133881121412</v>
      </c>
      <c r="AV52" s="21">
        <f>EXP(-LN(2)/25)*AV51+(1-EXP(-LN(2)/25))/(LN(2)/25)*Calculateur!AQ52*Calculateur!AS52*VLOOKUP('Données projet'!$B$10,Paramètres!$A$1:$I$89,3,0)*0.475*44/12</f>
        <v>6.613344159608177</v>
      </c>
      <c r="AW52" s="21">
        <f>EXP(-LN(2)/2)*AW51+(1-EXP(-LN(2)/2))/(LN(2)/2)*AQ52*AT52*VLOOKUP('Données projet'!$B$10,Paramètres!$A$1:$I$89,3,0)*0.475*44/12</f>
        <v>0.17437764081027224</v>
      </c>
      <c r="AX52" s="21">
        <f t="shared" si="6"/>
        <v>24.942855681539864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17.399999999999999</v>
      </c>
      <c r="BD52" s="12">
        <f>IF('Données projet'!$A$88&gt;35,BD51+BC52-BL51,IF(A52&lt;'Données projet'!$A$88,$BA$205^A52,IF(A52='Données projet'!$A$88,'Données projet'!$B$88,BD51+BC52-BL51)))</f>
        <v>396.59999999999997</v>
      </c>
      <c r="BE52" s="13">
        <f>BD52*VLOOKUP('Données projet'!$B$11,Paramètres!$A$1:$I$89,3,0)*VLOOKUP('Données projet'!$B$11,Paramètres!$A$1:$I$89,5,0)</f>
        <v>237.16679999999997</v>
      </c>
      <c r="BF52" s="13">
        <f t="shared" si="37"/>
        <v>57.829533038824209</v>
      </c>
      <c r="BG52" s="20">
        <f t="shared" si="7"/>
        <v>513.78528004261875</v>
      </c>
      <c r="BH52" s="59">
        <f t="shared" si="8"/>
        <v>807.11861337595201</v>
      </c>
      <c r="BI52" s="59">
        <f ca="1">AVERAGE(OFFSET($BH$3,0,0,'Données projet'!$E$11+1,1))-AVERAGE(OFFSET($H$3,0,0,'Données projet'!$E$11+1,1))</f>
        <v>284.60021367910457</v>
      </c>
      <c r="BJ52" s="59">
        <f t="shared" si="38"/>
        <v>301.41905904220812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50.576293062467393</v>
      </c>
      <c r="BQ52" s="21">
        <f>EXP(-LN(2)/25)*BQ51+(1-EXP(-LN(2)/25))/(LN(2)/25)*Calculateur!BL52*Calculateur!BN52*VLOOKUP('Données projet'!$B$11,Paramètres!$A$1:$I$89,3,0)*0.475*44/12</f>
        <v>12.151444770803726</v>
      </c>
      <c r="BR52" s="21">
        <f>EXP(-LN(2)/2)*BR51+(1-EXP(-LN(2)/2))/(LN(2)/2)*BL52*BO52*VLOOKUP('Données projet'!$B$11,Paramètres!$A$1:$I$89,3,0)*0.475*44/12</f>
        <v>1.5091482582658986</v>
      </c>
      <c r="BS52" s="22">
        <f t="shared" si="9"/>
        <v>64.236886091537016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20.399999999999999</v>
      </c>
      <c r="BY52" s="12">
        <f>IF('Données projet'!$A$114&gt;35,BY51+BX52-CG51,IF(A52&lt;'Données projet'!$A$114,$BV$205^A52,IF(A52='Données projet'!$A$114,'Données projet'!$B$114,BY51+BX52-CG51)))</f>
        <v>703.59999999999957</v>
      </c>
      <c r="BZ52" s="13">
        <f>BY52*VLOOKUP('Données projet'!$B$12,Paramètres!$A$1:$I$89,3,0)*VLOOKUP('Données projet'!$B$12,Paramètres!$A$1:$I$89,5,0)</f>
        <v>393.3123999999998</v>
      </c>
      <c r="CA52" s="13">
        <f t="shared" si="39"/>
        <v>90.419529407700907</v>
      </c>
      <c r="CB52" s="20">
        <f t="shared" si="10"/>
        <v>842.49977705174535</v>
      </c>
      <c r="CC52" s="59">
        <f t="shared" si="11"/>
        <v>1135.8331103850787</v>
      </c>
      <c r="CD52" s="59">
        <f ca="1">AVERAGE(OFFSET($CC$3,0,0,'Données projet'!$E$12+1,1))-AVERAGE(OFFSET($H$3,0,0,'Données projet'!$E$12+1,1))</f>
        <v>490.96084572840579</v>
      </c>
      <c r="CE52" s="59">
        <f t="shared" si="40"/>
        <v>597.91658789908263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79.139524528361363</v>
      </c>
      <c r="CL52" s="21">
        <f>EXP(-LN(2)/25)*CL51+(1-EXP(-LN(2)/25))/(LN(2)/25)*Calculateur!CG52*Calculateur!CI52*VLOOKUP('Données projet'!$B$12,Paramètres!$A$1:$I$89,3,0)*0.475*44/12</f>
        <v>21.447137622386865</v>
      </c>
      <c r="CM52" s="21">
        <f>EXP(-LN(2)/2)*CM51+(1-EXP(-LN(2)/2))/(LN(2)/2)*CG52*CJ52*VLOOKUP('Données projet'!$B$12,Paramètres!$A$1:$I$89,3,0)*0.475*44/12</f>
        <v>1.6801417233575913</v>
      </c>
      <c r="CN52" s="22">
        <f t="shared" si="12"/>
        <v>102.26680387410582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</v>
      </c>
      <c r="N53" s="13">
        <f>IF('Données projet'!$A$36&gt;35,N52+M53-V52,IF(A53&lt;'Données projet'!$A$36,$K$205^A53,IF(A53='Données projet'!$A$36,'Données projet'!$B$36,N52+M53-V52)))</f>
        <v>508.99999999999966</v>
      </c>
      <c r="O53" s="13">
        <f>N53*VLOOKUP('Données projet'!$B$9,Paramètres!$A$1:$I$89,3,0)*VLOOKUP('Données projet'!$B$9,Paramètres!$A$1:$I$89,5,0)</f>
        <v>317.61599999999976</v>
      </c>
      <c r="P53" s="13">
        <f t="shared" si="33"/>
        <v>74.857100423703955</v>
      </c>
      <c r="Q53" s="20">
        <f t="shared" si="53"/>
        <v>683.55731657128399</v>
      </c>
      <c r="R53" s="59">
        <f t="shared" si="0"/>
        <v>976.89064990461725</v>
      </c>
      <c r="S53" s="59">
        <f ca="1">AVERAGE(OFFSET($R$3,0,0,'Données projet'!$E$9+1,1))-AVERAGE(OFFSET($H$3,0,0,'Données projet'!$E$9+1,1))</f>
        <v>482.28841373508675</v>
      </c>
      <c r="T53" s="59">
        <f t="shared" si="34"/>
        <v>746.97309214631684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133.39430852123576</v>
      </c>
      <c r="AA53" s="21">
        <f>EXP(-LN(2)/25)*AA52+(1-EXP(-LN(2)/25))/(LN(2)/25)*Calculateur!V53*Calculateur!X53*VLOOKUP('Données projet'!$B$9,Paramètres!$A$1:$I$89,3,0)*0.475*44/12</f>
        <v>29.543399421838629</v>
      </c>
      <c r="AB53" s="21">
        <f>EXP(-LN(2)/2)*AB52+(1-EXP(-LN(2)/2))/(LN(2)/2)*V53*Y53*VLOOKUP('Données projet'!$B$9,Paramètres!$A$1:$I$89,3,0)*0.475*44/12</f>
        <v>6.5371960113939931</v>
      </c>
      <c r="AC53" s="22">
        <f t="shared" si="3"/>
        <v>169.47490395446837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334.77600000000001</v>
      </c>
      <c r="AG53" s="12">
        <f>VLOOKUP(A53,'Données projet'!$A$61:$I$81,9,0)</f>
        <v>11.5</v>
      </c>
      <c r="AH53" s="12">
        <f t="array" ref="AH53">INDEX(AG:AG,MIN(IF(ISNUMBER(AG53:AG249),ROW(AG53:AG249),"")))</f>
        <v>11.5</v>
      </c>
      <c r="AI53" s="13">
        <f>IF('Données projet'!$A$62&gt;35,AI52+AH53-AQ52,IF(A53&lt;'Données projet'!$A$62,$AF$205^A53,IF(A53='Données projet'!$A$62,'Données projet'!$B$62,AI52+AH53-AQ52)))</f>
        <v>334.7759999999999</v>
      </c>
      <c r="AJ53" s="13">
        <f>AI53*VLOOKUP('Données projet'!$B$10,Paramètres!$A$1:$I$89,3,0)*VLOOKUP('Données projet'!$B$10,Paramètres!$A$1:$I$89,5,0)</f>
        <v>156.67516799999996</v>
      </c>
      <c r="AK53" s="13">
        <f t="shared" si="35"/>
        <v>40.091676211496797</v>
      </c>
      <c r="AL53" s="20">
        <f t="shared" si="4"/>
        <v>342.70225366835689</v>
      </c>
      <c r="AM53" s="59">
        <f t="shared" si="5"/>
        <v>636.03558700169015</v>
      </c>
      <c r="AN53" s="59">
        <f ca="1">AVERAGE(OFFSET($AM$3,0,0,'Données projet'!$E$10+1,1))-AVERAGE(OFFSET($H$3,0,0,'Données projet'!$E$10+1,1))</f>
        <v>259.91478350500478</v>
      </c>
      <c r="AO53" s="59">
        <f t="shared" si="36"/>
        <v>192.27194887051007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66.955200000000005</v>
      </c>
      <c r="AR53" s="16">
        <f>IF(ISNA(VLOOKUP(A53,'Données projet'!$A$61:$I$81,5,0)),0%,VLOOKUP(A53,'Données projet'!$A$61:$I$81,5,0)*VLOOKUP('Données projet'!$B$10,Paramètres!$A$1:$I$89,7,0))</f>
        <v>0.38500000000000001</v>
      </c>
      <c r="AS53" s="16">
        <f>IF(ISNA(VLOOKUP(A53,'Données projet'!$A$61:$I$81,6,0)),0%,VLOOKUP(A53,'Données projet'!$A$61:$I$81,6,0)*VLOOKUP('Données projet'!$B$10,Paramètres!$A$1:$I$89,7,0))</f>
        <v>9.240000000000001E-2</v>
      </c>
      <c r="AT53" s="16">
        <f>IF(ISNA(VLOOKUP(A53,'Données projet'!$A$61:$I$81,7,0)),0%,VLOOKUP(A53,'Données projet'!$A$61:$I$81,7,0))</f>
        <v>0.13200000000000001</v>
      </c>
      <c r="AU53" s="21">
        <f>EXP(-LN(2)/35)*AU52+(1-EXP(-LN(2)/35))/(LN(2)/35)*AQ53*AR53*VLOOKUP('Données projet'!$B$10,Paramètres!$A$1:$I$89,3,0)*0.475*44/12</f>
        <v>33.802780365999894</v>
      </c>
      <c r="AV53" s="21">
        <f>EXP(-LN(2)/25)*AV52+(1-EXP(-LN(2)/25))/(LN(2)/25)*Calculateur!AQ53*Calculateur!AS53*VLOOKUP('Données projet'!$B$10,Paramètres!$A$1:$I$89,3,0)*0.475*44/12</f>
        <v>10.258256737133051</v>
      </c>
      <c r="AW53" s="21">
        <f>EXP(-LN(2)/2)*AW52+(1-EXP(-LN(2)/2))/(LN(2)/2)*AQ53*AT53*VLOOKUP('Données projet'!$B$10,Paramètres!$A$1:$I$89,3,0)*0.475*44/12</f>
        <v>4.8064705076558605</v>
      </c>
      <c r="AX53" s="21">
        <f t="shared" si="6"/>
        <v>48.867507610788806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414</v>
      </c>
      <c r="BB53" s="12">
        <f>VLOOKUP(A53,'Données projet'!$A$87:$I$107,9,0)</f>
        <v>17.399999999999999</v>
      </c>
      <c r="BC53" s="12">
        <f t="array" ref="BC53">INDEX(BB:BB,MIN(IF(ISNUMBER(BB53:BB249),ROW(BB53:BB249),"")))</f>
        <v>17.399999999999999</v>
      </c>
      <c r="BD53" s="12">
        <f>IF('Données projet'!$A$88&gt;35,BD52+BC53-BL52,IF(A53&lt;'Données projet'!$A$88,$BA$205^A53,IF(A53='Données projet'!$A$88,'Données projet'!$B$88,BD52+BC53-BL52)))</f>
        <v>413.99999999999994</v>
      </c>
      <c r="BE53" s="13">
        <f>BD53*VLOOKUP('Données projet'!$B$11,Paramètres!$A$1:$I$89,3,0)*VLOOKUP('Données projet'!$B$11,Paramètres!$A$1:$I$89,5,0)</f>
        <v>247.57199999999997</v>
      </c>
      <c r="BF53" s="13">
        <f t="shared" si="37"/>
        <v>60.065726249156526</v>
      </c>
      <c r="BG53" s="20">
        <f t="shared" si="7"/>
        <v>535.80237321728089</v>
      </c>
      <c r="BH53" s="59">
        <f t="shared" si="8"/>
        <v>829.13570655061426</v>
      </c>
      <c r="BI53" s="59">
        <f ca="1">AVERAGE(OFFSET($BH$3,0,0,'Données projet'!$E$11+1,1))-AVERAGE(OFFSET($H$3,0,0,'Données projet'!$E$11+1,1))</f>
        <v>284.60021367910457</v>
      </c>
      <c r="BJ53" s="59">
        <f t="shared" si="38"/>
        <v>301.41905904220812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47</v>
      </c>
      <c r="BM53" s="16">
        <f>IF(ISNA(VLOOKUP(A53,'Données projet'!$A$87:$I$107,5,0)),0%,VLOOKUP(A53,'Données projet'!$A$87:$I$107,5,0)*VLOOKUP('Données projet'!$B$11,Paramètres!$A$1:$I$89,7,0))</f>
        <v>0.315</v>
      </c>
      <c r="BN53" s="16">
        <f>IF(ISNA(VLOOKUP(A53,'Données projet'!$A$87:$I$107,6,0)),0%,VLOOKUP(A53,'Données projet'!$A$87:$I$107,6,0)*VLOOKUP('Données projet'!$B$11,Paramètres!$A$1:$I$89,7,0))</f>
        <v>7.5600000000000001E-2</v>
      </c>
      <c r="BO53" s="16">
        <f>IF(ISNA(VLOOKUP(A53,'Données projet'!$A$87:$I$107,7,0)),0%,VLOOKUP(A53,'Données projet'!$A$87:$I$107,7,0))</f>
        <v>0.13200000000000001</v>
      </c>
      <c r="BP53" s="21">
        <f>EXP(-LN(2)/35)*BP52+(1-EXP(-LN(2)/35))/(LN(2)/35)*BL53*BM53*VLOOKUP('Données projet'!$B$11,Paramètres!$A$1:$I$89,3,0)*0.475*44/12</f>
        <v>61.329115288149012</v>
      </c>
      <c r="BQ53" s="21">
        <f>EXP(-LN(2)/25)*BQ52+(1-EXP(-LN(2)/25))/(LN(2)/25)*Calculateur!BL53*Calculateur!BN53*VLOOKUP('Données projet'!$B$11,Paramètres!$A$1:$I$89,3,0)*0.475*44/12</f>
        <v>14.626766766167764</v>
      </c>
      <c r="BR53" s="21">
        <f>EXP(-LN(2)/2)*BR52+(1-EXP(-LN(2)/2))/(LN(2)/2)*BL53*BO53*VLOOKUP('Données projet'!$B$11,Paramètres!$A$1:$I$89,3,0)*0.475*44/12</f>
        <v>5.267701733200493</v>
      </c>
      <c r="BS53" s="22">
        <f t="shared" si="9"/>
        <v>81.223583787517271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724</v>
      </c>
      <c r="BW53" s="12">
        <f>VLOOKUP(A53,'Données projet'!$A$113:$I$133,9,0)</f>
        <v>20.399999999999999</v>
      </c>
      <c r="BX53" s="12">
        <f t="array" ref="BX53">INDEX(BW:BW,MIN(IF(ISNUMBER(BW53:BW249),ROW(BW53:BW249),"")))</f>
        <v>20.399999999999999</v>
      </c>
      <c r="BY53" s="12">
        <f>IF('Données projet'!$A$114&gt;35,BY52+BX53-CG52,IF(A53&lt;'Données projet'!$A$114,$BV$205^A53,IF(A53='Données projet'!$A$114,'Données projet'!$B$114,BY52+BX53-CG52)))</f>
        <v>723.99999999999955</v>
      </c>
      <c r="BZ53" s="13">
        <f>BY53*VLOOKUP('Données projet'!$B$12,Paramètres!$A$1:$I$89,3,0)*VLOOKUP('Données projet'!$B$12,Paramètres!$A$1:$I$89,5,0)</f>
        <v>404.71599999999978</v>
      </c>
      <c r="CA53" s="13">
        <f t="shared" si="39"/>
        <v>92.732108655131142</v>
      </c>
      <c r="CB53" s="20">
        <f t="shared" si="10"/>
        <v>866.38878924101971</v>
      </c>
      <c r="CC53" s="59">
        <f t="shared" si="11"/>
        <v>1159.7221225743531</v>
      </c>
      <c r="CD53" s="59">
        <f ca="1">AVERAGE(OFFSET($CC$3,0,0,'Données projet'!$E$12+1,1))-AVERAGE(OFFSET($H$3,0,0,'Données projet'!$E$12+1,1))</f>
        <v>490.96084572840579</v>
      </c>
      <c r="CE53" s="59">
        <f t="shared" si="40"/>
        <v>597.91658789908263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62</v>
      </c>
      <c r="CH53" s="16">
        <f>IF(ISNA(VLOOKUP(A53,'Données projet'!$A$113:$I$133,5,0)),0%,VLOOKUP(A53,'Données projet'!$A$113:$I$133,5,0)*VLOOKUP('Données projet'!$B$12,Paramètres!$A$1:$I$89,7,0))</f>
        <v>0.38500000000000001</v>
      </c>
      <c r="CI53" s="16">
        <f>IF(ISNA(VLOOKUP(A53,'Données projet'!$A$113:$I$133,6,0)),0%,VLOOKUP(A53,'Données projet'!$A$113:$I$133,6,0)*VLOOKUP('Données projet'!$B$12,Paramètres!$A$1:$I$89,7,0))</f>
        <v>9.240000000000001E-2</v>
      </c>
      <c r="CJ53" s="16">
        <f>IF(ISNA(VLOOKUP(A53,'Données projet'!$A$113:$I$133,7,0)),0%,VLOOKUP(A53,'Données projet'!$A$113:$I$133,7,0))</f>
        <v>0.13200000000000001</v>
      </c>
      <c r="CK53" s="21">
        <f>EXP(-LN(2)/35)*CK52+(1-EXP(-LN(2)/35))/(LN(2)/35)*CG53*CH53*VLOOKUP('Données projet'!$B$12,Paramètres!$A$1:$I$89,3,0)*0.475*44/12</f>
        <v>95.288434017903938</v>
      </c>
      <c r="CL53" s="21">
        <f>EXP(-LN(2)/25)*CL52+(1-EXP(-LN(2)/25))/(LN(2)/25)*Calculateur!CG53*Calculateur!CI53*VLOOKUP('Données projet'!$B$12,Paramètres!$A$1:$I$89,3,0)*0.475*44/12</f>
        <v>25.092126728508383</v>
      </c>
      <c r="CM53" s="21">
        <f>EXP(-LN(2)/2)*CM52+(1-EXP(-LN(2)/2))/(LN(2)/2)*CG53*CJ53*VLOOKUP('Données projet'!$B$12,Paramètres!$A$1:$I$89,3,0)*0.475*44/12</f>
        <v>6.3678393256733425</v>
      </c>
      <c r="CN53" s="22">
        <f t="shared" si="12"/>
        <v>126.74840007208567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</v>
      </c>
      <c r="N54" s="13">
        <f>IF('Données projet'!$A$36&gt;35,N53+M54-V53,IF(A54&lt;'Données projet'!$A$36,$K$205^A54,IF(A54='Données projet'!$A$36,'Données projet'!$B$36,N53+M54-V53)))</f>
        <v>524.99999999999966</v>
      </c>
      <c r="O54" s="13">
        <f>N54*VLOOKUP('Données projet'!$B$9,Paramètres!$A$1:$I$89,3,0)*VLOOKUP('Données projet'!$B$9,Paramètres!$A$1:$I$89,5,0)</f>
        <v>327.5999999999998</v>
      </c>
      <c r="P54" s="13">
        <f t="shared" si="33"/>
        <v>76.932514754922536</v>
      </c>
      <c r="Q54" s="20">
        <f t="shared" si="53"/>
        <v>704.5607965314897</v>
      </c>
      <c r="R54" s="59">
        <f t="shared" si="0"/>
        <v>997.89412986482307</v>
      </c>
      <c r="S54" s="59">
        <f ca="1">AVERAGE(OFFSET($R$3,0,0,'Données projet'!$E$9+1,1))-AVERAGE(OFFSET($H$3,0,0,'Données projet'!$E$9+1,1))</f>
        <v>482.28841373508675</v>
      </c>
      <c r="T54" s="59">
        <f t="shared" si="34"/>
        <v>746.97309214631684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130.77852749362864</v>
      </c>
      <c r="AA54" s="21">
        <f>EXP(-LN(2)/25)*AA53+(1-EXP(-LN(2)/25))/(LN(2)/25)*Calculateur!V54*Calculateur!X54*VLOOKUP('Données projet'!$B$9,Paramètres!$A$1:$I$89,3,0)*0.475*44/12</f>
        <v>28.735533611028597</v>
      </c>
      <c r="AB54" s="21">
        <f>EXP(-LN(2)/2)*AB53+(1-EXP(-LN(2)/2))/(LN(2)/2)*V54*Y54*VLOOKUP('Données projet'!$B$9,Paramètres!$A$1:$I$89,3,0)*0.475*44/12</f>
        <v>4.6224956296023434</v>
      </c>
      <c r="AC54" s="22">
        <f t="shared" si="3"/>
        <v>164.13655673425959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13.5</v>
      </c>
      <c r="AI54" s="13">
        <f>IF('Données projet'!$A$62&gt;35,AI53+AH54-AQ53,IF(A54&lt;'Données projet'!$A$62,$AF$205^A54,IF(A54='Données projet'!$A$62,'Données projet'!$B$62,AI53+AH54-AQ53)))</f>
        <v>281.32079999999991</v>
      </c>
      <c r="AJ54" s="13">
        <f>AI54*VLOOKUP('Données projet'!$B$10,Paramètres!$A$1:$I$89,3,0)*VLOOKUP('Données projet'!$B$10,Paramètres!$A$1:$I$89,5,0)</f>
        <v>131.65813439999997</v>
      </c>
      <c r="AK54" s="13">
        <f t="shared" si="35"/>
        <v>34.379222426702974</v>
      </c>
      <c r="AL54" s="20">
        <f t="shared" si="4"/>
        <v>289.18172980650758</v>
      </c>
      <c r="AM54" s="59">
        <f t="shared" si="5"/>
        <v>582.51506313984089</v>
      </c>
      <c r="AN54" s="59">
        <f ca="1">AVERAGE(OFFSET($AM$3,0,0,'Données projet'!$E$10+1,1))-AVERAGE(OFFSET($H$3,0,0,'Données projet'!$E$10+1,1))</f>
        <v>259.91478350500478</v>
      </c>
      <c r="AO54" s="59">
        <f t="shared" si="36"/>
        <v>192.27194887051007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33.139928460682832</v>
      </c>
      <c r="AV54" s="21">
        <f>EXP(-LN(2)/25)*AV53+(1-EXP(-LN(2)/25))/(LN(2)/25)*Calculateur!AQ54*Calculateur!AS54*VLOOKUP('Données projet'!$B$10,Paramètres!$A$1:$I$89,3,0)*0.475*44/12</f>
        <v>9.9777441671978711</v>
      </c>
      <c r="AW54" s="21">
        <f>EXP(-LN(2)/2)*AW53+(1-EXP(-LN(2)/2))/(LN(2)/2)*AQ54*AT54*VLOOKUP('Données projet'!$B$10,Paramètres!$A$1:$I$89,3,0)*0.475*44/12</f>
        <v>3.3986878895366068</v>
      </c>
      <c r="AX54" s="21">
        <f t="shared" si="6"/>
        <v>46.516360517417311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19.2</v>
      </c>
      <c r="BD54" s="12">
        <f>IF('Données projet'!$A$88&gt;35,BD53+BC54-BL53,IF(A54&lt;'Données projet'!$A$88,$BA$205^A54,IF(A54='Données projet'!$A$88,'Données projet'!$B$88,BD53+BC54-BL53)))</f>
        <v>386.19999999999993</v>
      </c>
      <c r="BE54" s="13">
        <f>BD54*VLOOKUP('Données projet'!$B$11,Paramètres!$A$1:$I$89,3,0)*VLOOKUP('Données projet'!$B$11,Paramètres!$A$1:$I$89,5,0)</f>
        <v>230.94759999999999</v>
      </c>
      <c r="BF54" s="13">
        <f t="shared" si="37"/>
        <v>56.487525751065782</v>
      </c>
      <c r="BG54" s="20">
        <f t="shared" si="7"/>
        <v>500.61617734977284</v>
      </c>
      <c r="BH54" s="59">
        <f t="shared" si="8"/>
        <v>793.94951068310615</v>
      </c>
      <c r="BI54" s="59">
        <f ca="1">AVERAGE(OFFSET($BH$3,0,0,'Données projet'!$E$11+1,1))-AVERAGE(OFFSET($H$3,0,0,'Données projet'!$E$11+1,1))</f>
        <v>284.60021367910457</v>
      </c>
      <c r="BJ54" s="59">
        <f t="shared" si="38"/>
        <v>301.41905904220812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60.126488744415092</v>
      </c>
      <c r="BQ54" s="21">
        <f>EXP(-LN(2)/25)*BQ53+(1-EXP(-LN(2)/25))/(LN(2)/25)*Calculateur!BL54*Calculateur!BN54*VLOOKUP('Données projet'!$B$11,Paramètres!$A$1:$I$89,3,0)*0.475*44/12</f>
        <v>14.226797059758672</v>
      </c>
      <c r="BR54" s="21">
        <f>EXP(-LN(2)/2)*BR53+(1-EXP(-LN(2)/2))/(LN(2)/2)*BL54*BO54*VLOOKUP('Données projet'!$B$11,Paramètres!$A$1:$I$89,3,0)*0.475*44/12</f>
        <v>3.7248276168141983</v>
      </c>
      <c r="BS54" s="22">
        <f t="shared" si="9"/>
        <v>78.078113420987961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15.4</v>
      </c>
      <c r="BY54" s="12">
        <f>IF('Données projet'!$A$114&gt;35,BY53+BX54-CG53,IF(A54&lt;'Données projet'!$A$114,$BV$205^A54,IF(A54='Données projet'!$A$114,'Données projet'!$B$114,BY53+BX54-CG53)))</f>
        <v>677.39999999999952</v>
      </c>
      <c r="BZ54" s="13">
        <f>BY54*VLOOKUP('Données projet'!$B$12,Paramètres!$A$1:$I$89,3,0)*VLOOKUP('Données projet'!$B$12,Paramètres!$A$1:$I$89,5,0)</f>
        <v>378.66659999999979</v>
      </c>
      <c r="CA54" s="13">
        <f t="shared" si="39"/>
        <v>87.437946637883755</v>
      </c>
      <c r="CB54" s="20">
        <f t="shared" si="10"/>
        <v>811.79875206098052</v>
      </c>
      <c r="CC54" s="59">
        <f t="shared" si="11"/>
        <v>1105.1320853943139</v>
      </c>
      <c r="CD54" s="59">
        <f ca="1">AVERAGE(OFFSET($CC$3,0,0,'Données projet'!$E$12+1,1))-AVERAGE(OFFSET($H$3,0,0,'Données projet'!$E$12+1,1))</f>
        <v>490.96084572840579</v>
      </c>
      <c r="CE54" s="59">
        <f t="shared" si="40"/>
        <v>597.91658789908263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93.419885947018699</v>
      </c>
      <c r="CL54" s="21">
        <f>EXP(-LN(2)/25)*CL53+(1-EXP(-LN(2)/25))/(LN(2)/25)*Calculateur!CG54*Calculateur!CI54*VLOOKUP('Données projet'!$B$12,Paramètres!$A$1:$I$89,3,0)*0.475*44/12</f>
        <v>24.405981203579724</v>
      </c>
      <c r="CM54" s="21">
        <f>EXP(-LN(2)/2)*CM53+(1-EXP(-LN(2)/2))/(LN(2)/2)*CG54*CJ54*VLOOKUP('Données projet'!$B$12,Paramètres!$A$1:$I$89,3,0)*0.475*44/12</f>
        <v>4.5027423686899928</v>
      </c>
      <c r="CN54" s="22">
        <f t="shared" si="12"/>
        <v>122.32860951928842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</v>
      </c>
      <c r="N55" s="13">
        <f>IF('Données projet'!$A$36&gt;35,N54+M55-V54,IF(A55&lt;'Données projet'!$A$36,$K$205^A55,IF(A55='Données projet'!$A$36,'Données projet'!$B$36,N54+M55-V54)))</f>
        <v>540.99999999999966</v>
      </c>
      <c r="O55" s="13">
        <f>N55*VLOOKUP('Données projet'!$B$9,Paramètres!$A$1:$I$89,3,0)*VLOOKUP('Données projet'!$B$9,Paramètres!$A$1:$I$89,5,0)</f>
        <v>337.58399999999978</v>
      </c>
      <c r="P55" s="13">
        <f t="shared" si="33"/>
        <v>79.000578543161197</v>
      </c>
      <c r="Q55" s="20">
        <f t="shared" si="53"/>
        <v>725.55147429600538</v>
      </c>
      <c r="R55" s="59">
        <f t="shared" si="0"/>
        <v>1018.8848076293386</v>
      </c>
      <c r="S55" s="59">
        <f ca="1">AVERAGE(OFFSET($R$3,0,0,'Données projet'!$E$9+1,1))-AVERAGE(OFFSET($H$3,0,0,'Données projet'!$E$9+1,1))</f>
        <v>482.28841373508675</v>
      </c>
      <c r="T55" s="59">
        <f t="shared" si="34"/>
        <v>746.97309214631684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128.21404033650401</v>
      </c>
      <c r="AA55" s="21">
        <f>EXP(-LN(2)/25)*AA54+(1-EXP(-LN(2)/25))/(LN(2)/25)*Calculateur!V55*Calculateur!X55*VLOOKUP('Données projet'!$B$9,Paramètres!$A$1:$I$89,3,0)*0.475*44/12</f>
        <v>27.949758933298984</v>
      </c>
      <c r="AB55" s="21">
        <f>EXP(-LN(2)/2)*AB54+(1-EXP(-LN(2)/2))/(LN(2)/2)*V55*Y55*VLOOKUP('Données projet'!$B$9,Paramètres!$A$1:$I$89,3,0)*0.475*44/12</f>
        <v>3.2685980056969965</v>
      </c>
      <c r="AC55" s="22">
        <f t="shared" si="3"/>
        <v>159.43239727549999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13.5</v>
      </c>
      <c r="AI55" s="13">
        <f>IF('Données projet'!$A$62&gt;35,AI54+AH55-AQ54,IF(A55&lt;'Données projet'!$A$62,$AF$205^A55,IF(A55='Données projet'!$A$62,'Données projet'!$B$62,AI54+AH55-AQ54)))</f>
        <v>294.82079999999991</v>
      </c>
      <c r="AJ55" s="13">
        <f>AI55*VLOOKUP('Données projet'!$B$10,Paramètres!$A$1:$I$89,3,0)*VLOOKUP('Données projet'!$B$10,Paramètres!$A$1:$I$89,5,0)</f>
        <v>137.97613439999995</v>
      </c>
      <c r="AK55" s="13">
        <f t="shared" si="35"/>
        <v>35.832974108647377</v>
      </c>
      <c r="AL55" s="20">
        <f t="shared" si="4"/>
        <v>302.71753065256081</v>
      </c>
      <c r="AM55" s="59">
        <f t="shared" si="5"/>
        <v>596.05086398589413</v>
      </c>
      <c r="AN55" s="59">
        <f ca="1">AVERAGE(OFFSET($AM$3,0,0,'Données projet'!$E$10+1,1))-AVERAGE(OFFSET($H$3,0,0,'Données projet'!$E$10+1,1))</f>
        <v>259.91478350500478</v>
      </c>
      <c r="AO55" s="59">
        <f t="shared" si="36"/>
        <v>192.27194887051007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32.490074676929297</v>
      </c>
      <c r="AV55" s="21">
        <f>EXP(-LN(2)/25)*AV54+(1-EXP(-LN(2)/25))/(LN(2)/25)*Calculateur!AQ55*Calculateur!AS55*VLOOKUP('Données projet'!$B$10,Paramètres!$A$1:$I$89,3,0)*0.475*44/12</f>
        <v>9.7049022282390833</v>
      </c>
      <c r="AW55" s="21">
        <f>EXP(-LN(2)/2)*AW54+(1-EXP(-LN(2)/2))/(LN(2)/2)*AQ55*AT55*VLOOKUP('Données projet'!$B$10,Paramètres!$A$1:$I$89,3,0)*0.475*44/12</f>
        <v>2.4032352538279307</v>
      </c>
      <c r="AX55" s="21">
        <f t="shared" si="6"/>
        <v>44.598212158996311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19.2</v>
      </c>
      <c r="BD55" s="12">
        <f>IF('Données projet'!$A$88&gt;35,BD54+BC55-BL54,IF(A55&lt;'Données projet'!$A$88,$BA$205^A55,IF(A55='Données projet'!$A$88,'Données projet'!$B$88,BD54+BC55-BL54)))</f>
        <v>405.39999999999992</v>
      </c>
      <c r="BE55" s="13">
        <f>BD55*VLOOKUP('Données projet'!$B$11,Paramètres!$A$1:$I$89,3,0)*VLOOKUP('Données projet'!$B$11,Paramètres!$A$1:$I$89,5,0)</f>
        <v>242.42919999999998</v>
      </c>
      <c r="BF55" s="13">
        <f t="shared" si="37"/>
        <v>58.961877963646643</v>
      </c>
      <c r="BG55" s="20">
        <f t="shared" si="7"/>
        <v>524.9227941200179</v>
      </c>
      <c r="BH55" s="59">
        <f t="shared" si="8"/>
        <v>818.25612745335116</v>
      </c>
      <c r="BI55" s="59">
        <f ca="1">AVERAGE(OFFSET($BH$3,0,0,'Données projet'!$E$11+1,1))-AVERAGE(OFFSET($H$3,0,0,'Données projet'!$E$11+1,1))</f>
        <v>284.60021367910457</v>
      </c>
      <c r="BJ55" s="59">
        <f t="shared" si="38"/>
        <v>301.41905904220812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58.947444973674031</v>
      </c>
      <c r="BQ55" s="21">
        <f>EXP(-LN(2)/25)*BQ54+(1-EXP(-LN(2)/25))/(LN(2)/25)*Calculateur!BL55*Calculateur!BN55*VLOOKUP('Données projet'!$B$11,Paramètres!$A$1:$I$89,3,0)*0.475*44/12</f>
        <v>13.837764546004829</v>
      </c>
      <c r="BR55" s="21">
        <f>EXP(-LN(2)/2)*BR54+(1-EXP(-LN(2)/2))/(LN(2)/2)*BL55*BO55*VLOOKUP('Données projet'!$B$11,Paramètres!$A$1:$I$89,3,0)*0.475*44/12</f>
        <v>2.6338508666002469</v>
      </c>
      <c r="BS55" s="22">
        <f t="shared" si="9"/>
        <v>75.419060386279099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15.4</v>
      </c>
      <c r="BY55" s="12">
        <f>IF('Données projet'!$A$114&gt;35,BY54+BX55-CG54,IF(A55&lt;'Données projet'!$A$114,$BV$205^A55,IF(A55='Données projet'!$A$114,'Données projet'!$B$114,BY54+BX55-CG54)))</f>
        <v>692.7999999999995</v>
      </c>
      <c r="BZ55" s="13">
        <f>BY55*VLOOKUP('Données projet'!$B$12,Paramètres!$A$1:$I$89,3,0)*VLOOKUP('Données projet'!$B$12,Paramètres!$A$1:$I$89,5,0)</f>
        <v>387.2751999999997</v>
      </c>
      <c r="CA55" s="13">
        <f t="shared" si="39"/>
        <v>89.192073473767834</v>
      </c>
      <c r="CB55" s="20">
        <f t="shared" si="10"/>
        <v>829.84716796681175</v>
      </c>
      <c r="CC55" s="59">
        <f t="shared" si="11"/>
        <v>1123.1805013001451</v>
      </c>
      <c r="CD55" s="59">
        <f ca="1">AVERAGE(OFFSET($CC$3,0,0,'Données projet'!$E$12+1,1))-AVERAGE(OFFSET($H$3,0,0,'Données projet'!$E$12+1,1))</f>
        <v>490.96084572840579</v>
      </c>
      <c r="CE55" s="59">
        <f t="shared" si="40"/>
        <v>597.91658789908263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91.587978964101737</v>
      </c>
      <c r="CL55" s="21">
        <f>EXP(-LN(2)/25)*CL54+(1-EXP(-LN(2)/25))/(LN(2)/25)*Calculateur!CG55*Calculateur!CI55*VLOOKUP('Données projet'!$B$12,Paramètres!$A$1:$I$89,3,0)*0.475*44/12</f>
        <v>23.738598364113066</v>
      </c>
      <c r="CM55" s="21">
        <f>EXP(-LN(2)/2)*CM54+(1-EXP(-LN(2)/2))/(LN(2)/2)*CG55*CJ55*VLOOKUP('Données projet'!$B$12,Paramètres!$A$1:$I$89,3,0)*0.475*44/12</f>
        <v>3.1839196628366717</v>
      </c>
      <c r="CN55" s="22">
        <f t="shared" si="12"/>
        <v>118.51049699105147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</v>
      </c>
      <c r="N56" s="13">
        <f>IF('Données projet'!$A$36&gt;35,N55+M56-V55,IF(A56&lt;'Données projet'!$A$36,$K$205^A56,IF(A56='Données projet'!$A$36,'Données projet'!$B$36,N55+M56-V55)))</f>
        <v>556.99999999999966</v>
      </c>
      <c r="O56" s="13">
        <f>N56*VLOOKUP('Données projet'!$B$9,Paramètres!$A$1:$I$89,3,0)*VLOOKUP('Données projet'!$B$9,Paramètres!$A$1:$I$89,5,0)</f>
        <v>347.56799999999981</v>
      </c>
      <c r="P56" s="13">
        <f t="shared" si="33"/>
        <v>81.061534138422132</v>
      </c>
      <c r="Q56" s="20">
        <f t="shared" si="53"/>
        <v>746.52977195775156</v>
      </c>
      <c r="R56" s="59">
        <f t="shared" si="0"/>
        <v>1039.8631052910848</v>
      </c>
      <c r="S56" s="59">
        <f ca="1">AVERAGE(OFFSET($R$3,0,0,'Données projet'!$E$9+1,1))-AVERAGE(OFFSET($H$3,0,0,'Données projet'!$E$9+1,1))</f>
        <v>482.28841373508675</v>
      </c>
      <c r="T56" s="59">
        <f t="shared" si="34"/>
        <v>746.97309214631684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125.69984120834789</v>
      </c>
      <c r="AA56" s="21">
        <f>EXP(-LN(2)/25)*AA55+(1-EXP(-LN(2)/25))/(LN(2)/25)*Calculateur!V56*Calculateur!X56*VLOOKUP('Données projet'!$B$9,Paramètres!$A$1:$I$89,3,0)*0.475*44/12</f>
        <v>27.18547130545398</v>
      </c>
      <c r="AB56" s="21">
        <f>EXP(-LN(2)/2)*AB55+(1-EXP(-LN(2)/2))/(LN(2)/2)*V56*Y56*VLOOKUP('Données projet'!$B$9,Paramètres!$A$1:$I$89,3,0)*0.475*44/12</f>
        <v>2.3112478148011717</v>
      </c>
      <c r="AC56" s="22">
        <f t="shared" si="3"/>
        <v>155.19656032860303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13.5</v>
      </c>
      <c r="AI56" s="13">
        <f>IF('Données projet'!$A$62&gt;35,AI55+AH56-AQ55,IF(A56&lt;'Données projet'!$A$62,$AF$205^A56,IF(A56='Données projet'!$A$62,'Données projet'!$B$62,AI55+AH56-AQ55)))</f>
        <v>308.32079999999991</v>
      </c>
      <c r="AJ56" s="13">
        <f>AI56*VLOOKUP('Données projet'!$B$10,Paramètres!$A$1:$I$89,3,0)*VLOOKUP('Données projet'!$B$10,Paramètres!$A$1:$I$89,5,0)</f>
        <v>144.29413439999996</v>
      </c>
      <c r="AK56" s="13">
        <f t="shared" si="35"/>
        <v>37.278995029360537</v>
      </c>
      <c r="AL56" s="20">
        <f t="shared" si="4"/>
        <v>316.23986708946956</v>
      </c>
      <c r="AM56" s="59">
        <f t="shared" si="5"/>
        <v>609.57320042280287</v>
      </c>
      <c r="AN56" s="59">
        <f ca="1">AVERAGE(OFFSET($AM$3,0,0,'Données projet'!$E$10+1,1))-AVERAGE(OFFSET($H$3,0,0,'Données projet'!$E$10+1,1))</f>
        <v>259.91478350500478</v>
      </c>
      <c r="AO56" s="59">
        <f t="shared" si="36"/>
        <v>192.27194887051007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31.852964129503501</v>
      </c>
      <c r="AV56" s="21">
        <f>EXP(-LN(2)/25)*AV55+(1-EXP(-LN(2)/25))/(LN(2)/25)*Calculateur!AQ56*Calculateur!AS56*VLOOKUP('Données projet'!$B$10,Paramètres!$A$1:$I$89,3,0)*0.475*44/12</f>
        <v>9.4395211664492589</v>
      </c>
      <c r="AW56" s="21">
        <f>EXP(-LN(2)/2)*AW55+(1-EXP(-LN(2)/2))/(LN(2)/2)*AQ56*AT56*VLOOKUP('Données projet'!$B$10,Paramètres!$A$1:$I$89,3,0)*0.475*44/12</f>
        <v>1.6993439447683036</v>
      </c>
      <c r="AX56" s="21">
        <f t="shared" si="6"/>
        <v>42.99182924072106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19.2</v>
      </c>
      <c r="BD56" s="12">
        <f>IF('Données projet'!$A$88&gt;35,BD55+BC56-BL55,IF(A56&lt;'Données projet'!$A$88,$BA$205^A56,IF(A56='Données projet'!$A$88,'Données projet'!$B$88,BD55+BC56-BL55)))</f>
        <v>424.59999999999991</v>
      </c>
      <c r="BE56" s="13">
        <f>BD56*VLOOKUP('Données projet'!$B$11,Paramètres!$A$1:$I$89,3,0)*VLOOKUP('Données projet'!$B$11,Paramètres!$A$1:$I$89,5,0)</f>
        <v>253.91079999999997</v>
      </c>
      <c r="BF56" s="13">
        <f t="shared" si="37"/>
        <v>61.422621781167194</v>
      </c>
      <c r="BG56" s="20">
        <f t="shared" si="7"/>
        <v>549.20570960219936</v>
      </c>
      <c r="BH56" s="59">
        <f t="shared" si="8"/>
        <v>842.53904293553273</v>
      </c>
      <c r="BI56" s="59">
        <f ca="1">AVERAGE(OFFSET($BH$3,0,0,'Données projet'!$E$11+1,1))-AVERAGE(OFFSET($H$3,0,0,'Données projet'!$E$11+1,1))</f>
        <v>284.60021367910457</v>
      </c>
      <c r="BJ56" s="59">
        <f t="shared" si="38"/>
        <v>301.41905904220812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57.791521532131519</v>
      </c>
      <c r="BQ56" s="21">
        <f>EXP(-LN(2)/25)*BQ55+(1-EXP(-LN(2)/25))/(LN(2)/25)*Calculateur!BL56*Calculateur!BN56*VLOOKUP('Données projet'!$B$11,Paramètres!$A$1:$I$89,3,0)*0.475*44/12</f>
        <v>13.459370146797916</v>
      </c>
      <c r="BR56" s="21">
        <f>EXP(-LN(2)/2)*BR55+(1-EXP(-LN(2)/2))/(LN(2)/2)*BL56*BO56*VLOOKUP('Données projet'!$B$11,Paramètres!$A$1:$I$89,3,0)*0.475*44/12</f>
        <v>1.8624138084070996</v>
      </c>
      <c r="BS56" s="22">
        <f t="shared" si="9"/>
        <v>73.113305487336532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15.4</v>
      </c>
      <c r="BY56" s="12">
        <f>IF('Données projet'!$A$114&gt;35,BY55+BX56-CG55,IF(A56&lt;'Données projet'!$A$114,$BV$205^A56,IF(A56='Données projet'!$A$114,'Données projet'!$B$114,BY55+BX56-CG55)))</f>
        <v>708.19999999999948</v>
      </c>
      <c r="BZ56" s="13">
        <f>BY56*VLOOKUP('Données projet'!$B$12,Paramètres!$A$1:$I$89,3,0)*VLOOKUP('Données projet'!$B$12,Paramètres!$A$1:$I$89,5,0)</f>
        <v>395.88379999999972</v>
      </c>
      <c r="CA56" s="13">
        <f t="shared" si="39"/>
        <v>90.941667130422957</v>
      </c>
      <c r="CB56" s="20">
        <f t="shared" si="10"/>
        <v>847.8876885854861</v>
      </c>
      <c r="CC56" s="59">
        <f t="shared" si="11"/>
        <v>1141.2210219188194</v>
      </c>
      <c r="CD56" s="59">
        <f ca="1">AVERAGE(OFFSET($CC$3,0,0,'Données projet'!$E$12+1,1))-AVERAGE(OFFSET($H$3,0,0,'Données projet'!$E$12+1,1))</f>
        <v>490.96084572840579</v>
      </c>
      <c r="CE56" s="59">
        <f t="shared" si="40"/>
        <v>597.91658789908263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89.791994559766849</v>
      </c>
      <c r="CL56" s="21">
        <f>EXP(-LN(2)/25)*CL55+(1-EXP(-LN(2)/25))/(LN(2)/25)*Calculateur!CG56*Calculateur!CI56*VLOOKUP('Données projet'!$B$12,Paramètres!$A$1:$I$89,3,0)*0.475*44/12</f>
        <v>23.089465143487761</v>
      </c>
      <c r="CM56" s="21">
        <f>EXP(-LN(2)/2)*CM55+(1-EXP(-LN(2)/2))/(LN(2)/2)*CG56*CJ56*VLOOKUP('Données projet'!$B$12,Paramètres!$A$1:$I$89,3,0)*0.475*44/12</f>
        <v>2.2513711843449968</v>
      </c>
      <c r="CN56" s="22">
        <f t="shared" si="12"/>
        <v>115.1328308875996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573</v>
      </c>
      <c r="L57" s="12">
        <f>VLOOKUP(A57,'Données projet'!$A$35:$I$55,9,0)</f>
        <v>16</v>
      </c>
      <c r="M57" s="12">
        <f t="array" ref="M57">INDEX(L:L,MIN(IF(ISNUMBER(L57:L253),ROW(L57:L253),"")))</f>
        <v>16</v>
      </c>
      <c r="N57" s="13">
        <f>IF('Données projet'!$A$36&gt;35,N56+M57-V56,IF(A57&lt;'Données projet'!$A$36,$K$205^A57,IF(A57='Données projet'!$A$36,'Données projet'!$B$36,N56+M57-V56)))</f>
        <v>572.99999999999966</v>
      </c>
      <c r="O57" s="13">
        <f>N57*VLOOKUP('Données projet'!$B$9,Paramètres!$A$1:$I$89,3,0)*VLOOKUP('Données projet'!$B$9,Paramètres!$A$1:$I$89,5,0)</f>
        <v>357.55199999999979</v>
      </c>
      <c r="P57" s="13">
        <f t="shared" si="33"/>
        <v>83.115609175699532</v>
      </c>
      <c r="Q57" s="20">
        <f t="shared" si="53"/>
        <v>767.49608598100974</v>
      </c>
      <c r="R57" s="59">
        <f t="shared" si="0"/>
        <v>1060.8294193143431</v>
      </c>
      <c r="S57" s="59">
        <f ca="1">AVERAGE(OFFSET($R$3,0,0,'Données projet'!$E$9+1,1))-AVERAGE(OFFSET($H$3,0,0,'Données projet'!$E$9+1,1))</f>
        <v>482.28841373508675</v>
      </c>
      <c r="T57" s="59">
        <f t="shared" si="34"/>
        <v>746.97309214631684</v>
      </c>
      <c r="U57" s="15">
        <f>IF(ISNA(VLOOKUP(A57,'Données projet'!$A$35:$I$55,3,0)),0,VLOOKUP(A57,'Données projet'!$A$35:$I$55,3,0))</f>
        <v>5</v>
      </c>
      <c r="V57" s="15">
        <f>IF(ISNA(VLOOKUP(A57,'Données projet'!$A$35:$I$55,4,0)),0,VLOOKUP(A57,'Données projet'!$A$35:$I$55,4,0))</f>
        <v>119</v>
      </c>
      <c r="W57" s="16">
        <f>IF(ISNA(VLOOKUP(A57,'Données projet'!$A$35:$I$55,5,0)),0%,VLOOKUP(A57,'Données projet'!$A$35:$I$55,5,0)*VLOOKUP('Données projet'!$B$9,Paramètres!$A$1:$I$89,7,0))</f>
        <v>0.42</v>
      </c>
      <c r="X57" s="16">
        <f>IF(ISNA(VLOOKUP(A57,'Données projet'!$A$35:$I$55,6,0)),0%,VLOOKUP(A57,'Données projet'!$A$35:$I$55,6,0)*VLOOKUP('Données projet'!$B$9,Paramètres!$A$1:$I$89,7,0))</f>
        <v>0.1008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164.60719947689461</v>
      </c>
      <c r="AA57" s="21">
        <f>EXP(-LN(2)/25)*AA56+(1-EXP(-LN(2)/25))/(LN(2)/25)*Calculateur!V57*Calculateur!X57*VLOOKUP('Données projet'!$B$9,Paramètres!$A$1:$I$89,3,0)*0.475*44/12</f>
        <v>36.332328879320272</v>
      </c>
      <c r="AB57" s="21">
        <f>EXP(-LN(2)/2)*AB56+(1-EXP(-LN(2)/2))/(LN(2)/2)*V57*Y57*VLOOKUP('Données projet'!$B$9,Paramètres!$A$1:$I$89,3,0)*0.475*44/12</f>
        <v>12.732204478885031</v>
      </c>
      <c r="AC57" s="22">
        <f t="shared" si="3"/>
        <v>213.6717328350999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13.5</v>
      </c>
      <c r="AI57" s="13">
        <f>IF('Données projet'!$A$62&gt;35,AI56+AH57-AQ56,IF(A57&lt;'Données projet'!$A$62,$AF$205^A57,IF(A57='Données projet'!$A$62,'Données projet'!$B$62,AI56+AH57-AQ56)))</f>
        <v>321.82079999999991</v>
      </c>
      <c r="AJ57" s="13">
        <f>AI57*VLOOKUP('Données projet'!$B$10,Paramètres!$A$1:$I$89,3,0)*VLOOKUP('Données projet'!$B$10,Paramètres!$A$1:$I$89,5,0)</f>
        <v>150.61213439999997</v>
      </c>
      <c r="AK57" s="13">
        <f t="shared" si="35"/>
        <v>38.71766237018555</v>
      </c>
      <c r="AL57" s="20">
        <f t="shared" si="4"/>
        <v>329.74939604140644</v>
      </c>
      <c r="AM57" s="59">
        <f t="shared" si="5"/>
        <v>623.08272937473976</v>
      </c>
      <c r="AN57" s="59">
        <f ca="1">AVERAGE(OFFSET($AM$3,0,0,'Données projet'!$E$10+1,1))-AVERAGE(OFFSET($H$3,0,0,'Données projet'!$E$10+1,1))</f>
        <v>259.91478350500478</v>
      </c>
      <c r="AO57" s="59">
        <f t="shared" si="36"/>
        <v>192.27194887051007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31.228346931313663</v>
      </c>
      <c r="AV57" s="21">
        <f>EXP(-LN(2)/25)*AV56+(1-EXP(-LN(2)/25))/(LN(2)/25)*Calculateur!AQ57*Calculateur!AS57*VLOOKUP('Données projet'!$B$10,Paramètres!$A$1:$I$89,3,0)*0.475*44/12</f>
        <v>9.1813969637498598</v>
      </c>
      <c r="AW57" s="21">
        <f>EXP(-LN(2)/2)*AW56+(1-EXP(-LN(2)/2))/(LN(2)/2)*AQ57*AT57*VLOOKUP('Données projet'!$B$10,Paramètres!$A$1:$I$89,3,0)*0.475*44/12</f>
        <v>1.2016176269139656</v>
      </c>
      <c r="AX57" s="21">
        <f t="shared" si="6"/>
        <v>41.611361521977486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19.2</v>
      </c>
      <c r="BD57" s="12">
        <f>IF('Données projet'!$A$88&gt;35,BD56+BC57-BL56,IF(A57&lt;'Données projet'!$A$88,$BA$205^A57,IF(A57='Données projet'!$A$88,'Données projet'!$B$88,BD56+BC57-BL56)))</f>
        <v>443.7999999999999</v>
      </c>
      <c r="BE57" s="13">
        <f>BD57*VLOOKUP('Données projet'!$B$11,Paramètres!$A$1:$I$89,3,0)*VLOOKUP('Données projet'!$B$11,Paramètres!$A$1:$I$89,5,0)</f>
        <v>265.39239999999995</v>
      </c>
      <c r="BF57" s="13">
        <f t="shared" si="37"/>
        <v>63.870442862391762</v>
      </c>
      <c r="BG57" s="20">
        <f t="shared" si="7"/>
        <v>573.46611798533218</v>
      </c>
      <c r="BH57" s="59">
        <f t="shared" si="8"/>
        <v>866.79945131866543</v>
      </c>
      <c r="BI57" s="59">
        <f ca="1">AVERAGE(OFFSET($BH$3,0,0,'Données projet'!$E$11+1,1))-AVERAGE(OFFSET($H$3,0,0,'Données projet'!$E$11+1,1))</f>
        <v>284.60021367910457</v>
      </c>
      <c r="BJ57" s="59">
        <f t="shared" si="38"/>
        <v>301.41905904220812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56.658265044233971</v>
      </c>
      <c r="BQ57" s="21">
        <f>EXP(-LN(2)/25)*BQ56+(1-EXP(-LN(2)/25))/(LN(2)/25)*Calculateur!BL57*Calculateur!BN57*VLOOKUP('Données projet'!$B$11,Paramètres!$A$1:$I$89,3,0)*0.475*44/12</f>
        <v>13.091322962336212</v>
      </c>
      <c r="BR57" s="21">
        <f>EXP(-LN(2)/2)*BR56+(1-EXP(-LN(2)/2))/(LN(2)/2)*BL57*BO57*VLOOKUP('Données projet'!$B$11,Paramètres!$A$1:$I$89,3,0)*0.475*44/12</f>
        <v>1.3169254333001237</v>
      </c>
      <c r="BS57" s="22">
        <f t="shared" si="9"/>
        <v>71.066513439870306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15.4</v>
      </c>
      <c r="BY57" s="12">
        <f>IF('Données projet'!$A$114&gt;35,BY56+BX57-CG56,IF(A57&lt;'Données projet'!$A$114,$BV$205^A57,IF(A57='Données projet'!$A$114,'Données projet'!$B$114,BY56+BX57-CG56)))</f>
        <v>723.59999999999945</v>
      </c>
      <c r="BZ57" s="13">
        <f>BY57*VLOOKUP('Données projet'!$B$12,Paramètres!$A$1:$I$89,3,0)*VLOOKUP('Données projet'!$B$12,Paramètres!$A$1:$I$89,5,0)</f>
        <v>404.49239999999969</v>
      </c>
      <c r="CA57" s="13">
        <f t="shared" si="39"/>
        <v>92.686837535548761</v>
      </c>
      <c r="CB57" s="20">
        <f t="shared" si="10"/>
        <v>865.92050537441344</v>
      </c>
      <c r="CC57" s="59">
        <f t="shared" si="11"/>
        <v>1159.2538387077468</v>
      </c>
      <c r="CD57" s="59">
        <f ca="1">AVERAGE(OFFSET($CC$3,0,0,'Données projet'!$E$12+1,1))-AVERAGE(OFFSET($H$3,0,0,'Données projet'!$E$12+1,1))</f>
        <v>490.96084572840579</v>
      </c>
      <c r="CE57" s="59">
        <f t="shared" si="40"/>
        <v>597.91658789908263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88.031228314158639</v>
      </c>
      <c r="CL57" s="21">
        <f>EXP(-LN(2)/25)*CL56+(1-EXP(-LN(2)/25))/(LN(2)/25)*Calculateur!CG57*Calculateur!CI57*VLOOKUP('Données projet'!$B$12,Paramètres!$A$1:$I$89,3,0)*0.475*44/12</f>
        <v>22.458082504916888</v>
      </c>
      <c r="CM57" s="21">
        <f>EXP(-LN(2)/2)*CM56+(1-EXP(-LN(2)/2))/(LN(2)/2)*CG57*CJ57*VLOOKUP('Données projet'!$B$12,Paramètres!$A$1:$I$89,3,0)*0.475*44/12</f>
        <v>1.5919598314183361</v>
      </c>
      <c r="CN57" s="22">
        <f t="shared" si="12"/>
        <v>112.08127065049386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13.333333333333334</v>
      </c>
      <c r="N58" s="13">
        <f>IF('Données projet'!$A$36&gt;35,N57+M58-V57,IF(A58&lt;'Données projet'!$A$36,$K$205^A58,IF(A58='Données projet'!$A$36,'Données projet'!$B$36,N57+M58-V57)))</f>
        <v>467.33333333333303</v>
      </c>
      <c r="O58" s="13">
        <f>N58*VLOOKUP('Données projet'!$B$9,Paramètres!$A$1:$I$89,3,0)*VLOOKUP('Données projet'!$B$9,Paramètres!$A$1:$I$89,5,0)</f>
        <v>291.61599999999981</v>
      </c>
      <c r="P58" s="13">
        <f t="shared" si="33"/>
        <v>69.415966121585768</v>
      </c>
      <c r="Q58" s="20">
        <f t="shared" si="53"/>
        <v>628.79734099509483</v>
      </c>
      <c r="R58" s="59">
        <f t="shared" si="0"/>
        <v>922.13067432842809</v>
      </c>
      <c r="S58" s="59">
        <f ca="1">AVERAGE(OFFSET($R$3,0,0,'Données projet'!$E$9+1,1))-AVERAGE(OFFSET($H$3,0,0,'Données projet'!$E$9+1,1))</f>
        <v>482.28841373508675</v>
      </c>
      <c r="T58" s="59">
        <f t="shared" si="34"/>
        <v>746.97309214631684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161.37935269563067</v>
      </c>
      <c r="AA58" s="21">
        <f>EXP(-LN(2)/25)*AA57+(1-EXP(-LN(2)/25))/(LN(2)/25)*Calculateur!V58*Calculateur!X58*VLOOKUP('Données projet'!$B$9,Paramètres!$A$1:$I$89,3,0)*0.475*44/12</f>
        <v>35.33881943548112</v>
      </c>
      <c r="AB58" s="21">
        <f>EXP(-LN(2)/2)*AB57+(1-EXP(-LN(2)/2))/(LN(2)/2)*V58*Y58*VLOOKUP('Données projet'!$B$9,Paramètres!$A$1:$I$89,3,0)*0.475*44/12</f>
        <v>9.0030281264733389</v>
      </c>
      <c r="AC58" s="22">
        <f t="shared" si="3"/>
        <v>205.72120025758514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13.5</v>
      </c>
      <c r="AI58" s="13">
        <f>IF('Données projet'!$A$62&gt;35,AI57+AH58-AQ57,IF(A58&lt;'Données projet'!$A$62,$AF$205^A58,IF(A58='Données projet'!$A$62,'Données projet'!$B$62,AI57+AH58-AQ57)))</f>
        <v>335.32079999999991</v>
      </c>
      <c r="AJ58" s="13">
        <f>AI58*VLOOKUP('Données projet'!$B$10,Paramètres!$A$1:$I$89,3,0)*VLOOKUP('Données projet'!$B$10,Paramètres!$A$1:$I$89,5,0)</f>
        <v>156.93013439999996</v>
      </c>
      <c r="AK58" s="13">
        <f t="shared" si="35"/>
        <v>40.149319877659416</v>
      </c>
      <c r="AL58" s="20">
        <f t="shared" si="4"/>
        <v>343.24671620025674</v>
      </c>
      <c r="AM58" s="59">
        <f t="shared" si="5"/>
        <v>636.58004953359</v>
      </c>
      <c r="AN58" s="59">
        <f ca="1">AVERAGE(OFFSET($AM$3,0,0,'Données projet'!$E$10+1,1))-AVERAGE(OFFSET($H$3,0,0,'Données projet'!$E$10+1,1))</f>
        <v>259.91478350500478</v>
      </c>
      <c r="AO58" s="59">
        <f t="shared" si="36"/>
        <v>192.27194887051007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30.615978095401456</v>
      </c>
      <c r="AV58" s="21">
        <f>EXP(-LN(2)/25)*AV57+(1-EXP(-LN(2)/25))/(LN(2)/25)*Calculateur!AQ58*Calculateur!AS58*VLOOKUP('Données projet'!$B$10,Paramètres!$A$1:$I$89,3,0)*0.475*44/12</f>
        <v>8.9303311809474373</v>
      </c>
      <c r="AW58" s="21">
        <f>EXP(-LN(2)/2)*AW57+(1-EXP(-LN(2)/2))/(LN(2)/2)*AQ58*AT58*VLOOKUP('Données projet'!$B$10,Paramètres!$A$1:$I$89,3,0)*0.475*44/12</f>
        <v>0.84967197238415204</v>
      </c>
      <c r="AX58" s="21">
        <f t="shared" si="6"/>
        <v>40.395981248733044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463</v>
      </c>
      <c r="BB58" s="12">
        <f>VLOOKUP(A58,'Données projet'!$A$87:$I$107,9,0)</f>
        <v>19.2</v>
      </c>
      <c r="BC58" s="12">
        <f t="array" ref="BC58">INDEX(BB:BB,MIN(IF(ISNUMBER(BB58:BB254),ROW(BB58:BB254),"")))</f>
        <v>19.2</v>
      </c>
      <c r="BD58" s="12">
        <f>IF('Données projet'!$A$88&gt;35,BD57+BC58-BL57,IF(A58&lt;'Données projet'!$A$88,$BA$205^A58,IF(A58='Données projet'!$A$88,'Données projet'!$B$88,BD57+BC58-BL57)))</f>
        <v>462.99999999999989</v>
      </c>
      <c r="BE58" s="13">
        <f>BD58*VLOOKUP('Données projet'!$B$11,Paramètres!$A$1:$I$89,3,0)*VLOOKUP('Données projet'!$B$11,Paramètres!$A$1:$I$89,5,0)</f>
        <v>276.87399999999997</v>
      </c>
      <c r="BF58" s="13">
        <f t="shared" si="37"/>
        <v>66.305964184031993</v>
      </c>
      <c r="BG58" s="20">
        <f t="shared" si="7"/>
        <v>597.70510428718899</v>
      </c>
      <c r="BH58" s="59">
        <f t="shared" si="8"/>
        <v>891.03843762052225</v>
      </c>
      <c r="BI58" s="59">
        <f ca="1">AVERAGE(OFFSET($BH$3,0,0,'Données projet'!$E$11+1,1))-AVERAGE(OFFSET($H$3,0,0,'Données projet'!$E$11+1,1))</f>
        <v>284.60021367910457</v>
      </c>
      <c r="BJ58" s="59">
        <f t="shared" si="38"/>
        <v>301.41905904220812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48</v>
      </c>
      <c r="BM58" s="16">
        <f>IF(ISNA(VLOOKUP(A58,'Données projet'!$A$87:$I$107,5,0)),0%,VLOOKUP(A58,'Données projet'!$A$87:$I$107,5,0)*VLOOKUP('Données projet'!$B$11,Paramètres!$A$1:$I$89,7,0))</f>
        <v>0.315</v>
      </c>
      <c r="BN58" s="16">
        <f>IF(ISNA(VLOOKUP(A58,'Données projet'!$A$87:$I$107,6,0)),0%,VLOOKUP(A58,'Données projet'!$A$87:$I$107,6,0)*VLOOKUP('Données projet'!$B$11,Paramètres!$A$1:$I$89,7,0))</f>
        <v>7.5600000000000001E-2</v>
      </c>
      <c r="BO58" s="16">
        <f>IF(ISNA(VLOOKUP(A58,'Données projet'!$A$87:$I$107,7,0)),0%,VLOOKUP(A58,'Données projet'!$A$87:$I$107,7,0))</f>
        <v>0.13200000000000001</v>
      </c>
      <c r="BP58" s="21">
        <f>EXP(-LN(2)/35)*BP57+(1-EXP(-LN(2)/35))/(LN(2)/35)*BL58*BM58*VLOOKUP('Données projet'!$B$11,Paramètres!$A$1:$I$89,3,0)*0.475*44/12</f>
        <v>67.541708455460906</v>
      </c>
      <c r="BQ58" s="21">
        <f>EXP(-LN(2)/25)*BQ57+(1-EXP(-LN(2)/25))/(LN(2)/25)*Calculateur!BL58*Calculateur!BN58*VLOOKUP('Données projet'!$B$11,Paramètres!$A$1:$I$89,3,0)*0.475*44/12</f>
        <v>15.600680192140331</v>
      </c>
      <c r="BR58" s="21">
        <f>EXP(-LN(2)/2)*BR57+(1-EXP(-LN(2)/2))/(LN(2)/2)*BL58*BO58*VLOOKUP('Données projet'!$B$11,Paramètres!$A$1:$I$89,3,0)*0.475*44/12</f>
        <v>5.2211535588059066</v>
      </c>
      <c r="BS58" s="22">
        <f t="shared" si="9"/>
        <v>88.363542206407146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739</v>
      </c>
      <c r="BW58" s="12">
        <f>VLOOKUP(A58,'Données projet'!$A$113:$I$133,9,0)</f>
        <v>15.4</v>
      </c>
      <c r="BX58" s="12">
        <f t="array" ref="BX58">INDEX(BW:BW,MIN(IF(ISNUMBER(BW58:BW254),ROW(BW58:BW254),"")))</f>
        <v>15.4</v>
      </c>
      <c r="BY58" s="12">
        <f>IF('Données projet'!$A$114&gt;35,BY57+BX58-CG57,IF(A58&lt;'Données projet'!$A$114,$BV$205^A58,IF(A58='Données projet'!$A$114,'Données projet'!$B$114,BY57+BX58-CG57)))</f>
        <v>738.99999999999943</v>
      </c>
      <c r="BZ58" s="13">
        <f>BY58*VLOOKUP('Données projet'!$B$12,Paramètres!$A$1:$I$89,3,0)*VLOOKUP('Données projet'!$B$12,Paramètres!$A$1:$I$89,5,0)</f>
        <v>413.10099999999971</v>
      </c>
      <c r="CA58" s="13">
        <f t="shared" si="39"/>
        <v>94.427689670462271</v>
      </c>
      <c r="CB58" s="20">
        <f t="shared" si="10"/>
        <v>883.94580117605472</v>
      </c>
      <c r="CC58" s="59">
        <f t="shared" si="11"/>
        <v>1177.2791345093881</v>
      </c>
      <c r="CD58" s="59">
        <f ca="1">AVERAGE(OFFSET($CC$3,0,0,'Données projet'!$E$12+1,1))-AVERAGE(OFFSET($H$3,0,0,'Données projet'!$E$12+1,1))</f>
        <v>490.96084572840579</v>
      </c>
      <c r="CE58" s="59">
        <f t="shared" si="40"/>
        <v>597.91658789908263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46</v>
      </c>
      <c r="CH58" s="16">
        <f>IF(ISNA(VLOOKUP(A58,'Données projet'!$A$113:$I$133,5,0)),0%,VLOOKUP(A58,'Données projet'!$A$113:$I$133,5,0)*VLOOKUP('Données projet'!$B$12,Paramètres!$A$1:$I$89,7,0))</f>
        <v>0.38500000000000001</v>
      </c>
      <c r="CI58" s="16">
        <f>IF(ISNA(VLOOKUP(A58,'Données projet'!$A$113:$I$133,6,0)),0%,VLOOKUP(A58,'Données projet'!$A$113:$I$133,6,0)*VLOOKUP('Données projet'!$B$12,Paramètres!$A$1:$I$89,7,0))</f>
        <v>9.240000000000001E-2</v>
      </c>
      <c r="CJ58" s="16">
        <f>IF(ISNA(VLOOKUP(A58,'Données projet'!$A$113:$I$133,7,0)),0%,VLOOKUP(A58,'Données projet'!$A$113:$I$133,7,0))</f>
        <v>0.13200000000000001</v>
      </c>
      <c r="CK58" s="21">
        <f>EXP(-LN(2)/35)*CK57+(1-EXP(-LN(2)/35))/(LN(2)/35)*CG58*CH58*VLOOKUP('Données projet'!$B$12,Paramètres!$A$1:$I$89,3,0)*0.475*44/12</f>
        <v>99.43783180742679</v>
      </c>
      <c r="CL58" s="21">
        <f>EXP(-LN(2)/25)*CL57+(1-EXP(-LN(2)/25))/(LN(2)/25)*Calculateur!CG58*Calculateur!CI58*VLOOKUP('Données projet'!$B$12,Paramètres!$A$1:$I$89,3,0)*0.475*44/12</f>
        <v>24.983437021736759</v>
      </c>
      <c r="CM58" s="21">
        <f>EXP(-LN(2)/2)*CM57+(1-EXP(-LN(2)/2))/(LN(2)/2)*CG58*CJ58*VLOOKUP('Données projet'!$B$12,Paramètres!$A$1:$I$89,3,0)*0.475*44/12</f>
        <v>4.9687628035871096</v>
      </c>
      <c r="CN58" s="22">
        <f t="shared" si="12"/>
        <v>129.39003163275066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13.333333333333334</v>
      </c>
      <c r="N59" s="13">
        <f>IF('Données projet'!$A$36&gt;35,N58+M59-V58,IF(A59&lt;'Données projet'!$A$36,$K$205^A59,IF(A59='Données projet'!$A$36,'Données projet'!$B$36,N58+M59-V58)))</f>
        <v>480.66666666666634</v>
      </c>
      <c r="O59" s="13">
        <f>N59*VLOOKUP('Données projet'!$B$9,Paramètres!$A$1:$I$89,3,0)*VLOOKUP('Données projet'!$B$9,Paramètres!$A$1:$I$89,5,0)</f>
        <v>299.93599999999981</v>
      </c>
      <c r="P59" s="13">
        <f t="shared" si="33"/>
        <v>71.16304645082424</v>
      </c>
      <c r="Q59" s="20">
        <f t="shared" si="53"/>
        <v>646.33083923518518</v>
      </c>
      <c r="R59" s="59">
        <f t="shared" si="0"/>
        <v>939.66417256851855</v>
      </c>
      <c r="S59" s="59">
        <f ca="1">AVERAGE(OFFSET($R$3,0,0,'Données projet'!$E$9+1,1))-AVERAGE(OFFSET($H$3,0,0,'Données projet'!$E$9+1,1))</f>
        <v>482.28841373508675</v>
      </c>
      <c r="T59" s="59">
        <f t="shared" si="34"/>
        <v>746.97309214631684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158.21480202095518</v>
      </c>
      <c r="AA59" s="21">
        <f>EXP(-LN(2)/25)*AA58+(1-EXP(-LN(2)/25))/(LN(2)/25)*Calculateur!V59*Calculateur!X59*VLOOKUP('Données projet'!$B$9,Paramètres!$A$1:$I$89,3,0)*0.475*44/12</f>
        <v>34.372477559630141</v>
      </c>
      <c r="AB59" s="21">
        <f>EXP(-LN(2)/2)*AB58+(1-EXP(-LN(2)/2))/(LN(2)/2)*V59*Y59*VLOOKUP('Données projet'!$B$9,Paramètres!$A$1:$I$89,3,0)*0.475*44/12</f>
        <v>6.3661022394425162</v>
      </c>
      <c r="AC59" s="22">
        <f t="shared" si="3"/>
        <v>198.95338182002783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13.5</v>
      </c>
      <c r="AI59" s="13">
        <f>IF('Données projet'!$A$62&gt;35,AI58+AH59-AQ58,IF(A59&lt;'Données projet'!$A$62,$AF$205^A59,IF(A59='Données projet'!$A$62,'Données projet'!$B$62,AI58+AH59-AQ58)))</f>
        <v>348.82079999999991</v>
      </c>
      <c r="AJ59" s="13">
        <f>AI59*VLOOKUP('Données projet'!$B$10,Paramètres!$A$1:$I$89,3,0)*VLOOKUP('Données projet'!$B$10,Paramètres!$A$1:$I$89,5,0)</f>
        <v>163.24813439999997</v>
      </c>
      <c r="AK59" s="13">
        <f t="shared" si="35"/>
        <v>41.574282053315187</v>
      </c>
      <c r="AL59" s="20">
        <f t="shared" si="4"/>
        <v>356.73237532285719</v>
      </c>
      <c r="AM59" s="59">
        <f t="shared" si="5"/>
        <v>650.06570865619051</v>
      </c>
      <c r="AN59" s="59">
        <f ca="1">AVERAGE(OFFSET($AM$3,0,0,'Données projet'!$E$10+1,1))-AVERAGE(OFFSET($H$3,0,0,'Données projet'!$E$10+1,1))</f>
        <v>259.91478350500478</v>
      </c>
      <c r="AO59" s="59">
        <f t="shared" si="36"/>
        <v>192.27194887051007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30.015617438853376</v>
      </c>
      <c r="AV59" s="21">
        <f>EXP(-LN(2)/25)*AV58+(1-EXP(-LN(2)/25))/(LN(2)/25)*Calculateur!AQ59*Calculateur!AS59*VLOOKUP('Données projet'!$B$10,Paramètres!$A$1:$I$89,3,0)*0.475*44/12</f>
        <v>8.686130805178724</v>
      </c>
      <c r="AW59" s="21">
        <f>EXP(-LN(2)/2)*AW58+(1-EXP(-LN(2)/2))/(LN(2)/2)*AQ59*AT59*VLOOKUP('Données projet'!$B$10,Paramètres!$A$1:$I$89,3,0)*0.475*44/12</f>
        <v>0.60080881345698289</v>
      </c>
      <c r="AX59" s="21">
        <f t="shared" si="6"/>
        <v>39.302557057489089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</v>
      </c>
      <c r="BD59" s="12">
        <f>IF('Données projet'!$A$88&gt;35,BD58+BC59-BL58,IF(A59&lt;'Données projet'!$A$88,$BA$205^A59,IF(A59='Données projet'!$A$88,'Données projet'!$B$88,BD58+BC59-BL58)))</f>
        <v>431.99999999999989</v>
      </c>
      <c r="BE59" s="13">
        <f>BD59*VLOOKUP('Données projet'!$B$11,Paramètres!$A$1:$I$89,3,0)*VLOOKUP('Données projet'!$B$11,Paramètres!$A$1:$I$89,5,0)</f>
        <v>258.33599999999996</v>
      </c>
      <c r="BF59" s="13">
        <f t="shared" si="37"/>
        <v>62.367547966451262</v>
      </c>
      <c r="BG59" s="20">
        <f t="shared" si="7"/>
        <v>558.55867937490245</v>
      </c>
      <c r="BH59" s="59">
        <f t="shared" si="8"/>
        <v>851.89201270823582</v>
      </c>
      <c r="BI59" s="59">
        <f ca="1">AVERAGE(OFFSET($BH$3,0,0,'Données projet'!$E$11+1,1))-AVERAGE(OFFSET($H$3,0,0,'Données projet'!$E$11+1,1))</f>
        <v>284.60021367910457</v>
      </c>
      <c r="BJ59" s="59">
        <f t="shared" si="38"/>
        <v>301.41905904220812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66.217256749023676</v>
      </c>
      <c r="BQ59" s="21">
        <f>EXP(-LN(2)/25)*BQ58+(1-EXP(-LN(2)/25))/(LN(2)/25)*Calculateur!BL59*Calculateur!BN59*VLOOKUP('Données projet'!$B$11,Paramètres!$A$1:$I$89,3,0)*0.475*44/12</f>
        <v>15.174078771882138</v>
      </c>
      <c r="BR59" s="21">
        <f>EXP(-LN(2)/2)*BR58+(1-EXP(-LN(2)/2))/(LN(2)/2)*BL59*BO59*VLOOKUP('Données projet'!$B$11,Paramètres!$A$1:$I$89,3,0)*0.475*44/12</f>
        <v>3.6919130870479324</v>
      </c>
      <c r="BS59" s="22">
        <f t="shared" si="9"/>
        <v>85.083248607953749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12.2</v>
      </c>
      <c r="BY59" s="12">
        <f>IF('Données projet'!$A$114&gt;35,BY58+BX59-CG58,IF(A59&lt;'Données projet'!$A$114,$BV$205^A59,IF(A59='Données projet'!$A$114,'Données projet'!$B$114,BY58+BX59-CG58)))</f>
        <v>705.19999999999948</v>
      </c>
      <c r="BZ59" s="13">
        <f>BY59*VLOOKUP('Données projet'!$B$12,Paramètres!$A$1:$I$89,3,0)*VLOOKUP('Données projet'!$B$12,Paramètres!$A$1:$I$89,5,0)</f>
        <v>394.2067999999997</v>
      </c>
      <c r="CA59" s="13">
        <f t="shared" si="39"/>
        <v>90.601187466199292</v>
      </c>
      <c r="CB59" s="20">
        <f t="shared" si="10"/>
        <v>844.37391150362998</v>
      </c>
      <c r="CC59" s="59">
        <f t="shared" si="11"/>
        <v>1137.7072448369634</v>
      </c>
      <c r="CD59" s="59">
        <f ca="1">AVERAGE(OFFSET($CC$3,0,0,'Données projet'!$E$12+1,1))-AVERAGE(OFFSET($H$3,0,0,'Données projet'!$E$12+1,1))</f>
        <v>490.96084572840579</v>
      </c>
      <c r="CE59" s="59">
        <f t="shared" si="40"/>
        <v>597.91658789908263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97.487916576771752</v>
      </c>
      <c r="CL59" s="21">
        <f>EXP(-LN(2)/25)*CL58+(1-EXP(-LN(2)/25))/(LN(2)/25)*Calculateur!CG59*Calculateur!CI59*VLOOKUP('Données projet'!$B$12,Paramètres!$A$1:$I$89,3,0)*0.475*44/12</f>
        <v>24.300263622555516</v>
      </c>
      <c r="CM59" s="21">
        <f>EXP(-LN(2)/2)*CM58+(1-EXP(-LN(2)/2))/(LN(2)/2)*CG59*CJ59*VLOOKUP('Données projet'!$B$12,Paramètres!$A$1:$I$89,3,0)*0.475*44/12</f>
        <v>3.5134458725239268</v>
      </c>
      <c r="CN59" s="22">
        <f t="shared" si="12"/>
        <v>125.3016260718512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13.333333333333334</v>
      </c>
      <c r="N60" s="13">
        <f>IF('Données projet'!$A$36&gt;35,N59+M60-V59,IF(A60&lt;'Données projet'!$A$36,$K$205^A60,IF(A60='Données projet'!$A$36,'Données projet'!$B$36,N59+M60-V59)))</f>
        <v>493.99999999999966</v>
      </c>
      <c r="O60" s="13">
        <f>N60*VLOOKUP('Données projet'!$B$9,Paramètres!$A$1:$I$89,3,0)*VLOOKUP('Données projet'!$B$9,Paramètres!$A$1:$I$89,5,0)</f>
        <v>308.2559999999998</v>
      </c>
      <c r="P60" s="13">
        <f t="shared" si="33"/>
        <v>72.904494055753887</v>
      </c>
      <c r="Q60" s="20">
        <f t="shared" si="53"/>
        <v>663.85452714710436</v>
      </c>
      <c r="R60" s="59">
        <f t="shared" si="0"/>
        <v>957.18786048043762</v>
      </c>
      <c r="S60" s="59">
        <f ca="1">AVERAGE(OFFSET($R$3,0,0,'Données projet'!$E$9+1,1))-AVERAGE(OFFSET($H$3,0,0,'Données projet'!$E$9+1,1))</f>
        <v>482.28841373508675</v>
      </c>
      <c r="T60" s="59">
        <f t="shared" si="34"/>
        <v>746.97309214631684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155.11230625482474</v>
      </c>
      <c r="AA60" s="21">
        <f>EXP(-LN(2)/25)*AA59+(1-EXP(-LN(2)/25))/(LN(2)/25)*Calculateur!V60*Calculateur!X60*VLOOKUP('Données projet'!$B$9,Paramètres!$A$1:$I$89,3,0)*0.475*44/12</f>
        <v>33.432560353192017</v>
      </c>
      <c r="AB60" s="21">
        <f>EXP(-LN(2)/2)*AB59+(1-EXP(-LN(2)/2))/(LN(2)/2)*V60*Y60*VLOOKUP('Données projet'!$B$9,Paramètres!$A$1:$I$89,3,0)*0.475*44/12</f>
        <v>4.5015140632366695</v>
      </c>
      <c r="AC60" s="22">
        <f t="shared" si="3"/>
        <v>193.04638067125344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13.5</v>
      </c>
      <c r="AI60" s="13">
        <f>IF('Données projet'!$A$62&gt;35,AI59+AH60-AQ59,IF(A60&lt;'Données projet'!$A$62,$AF$205^A60,IF(A60='Données projet'!$A$62,'Données projet'!$B$62,AI59+AH60-AQ59)))</f>
        <v>362.32079999999991</v>
      </c>
      <c r="AJ60" s="13">
        <f>AI60*VLOOKUP('Données projet'!$B$10,Paramètres!$A$1:$I$89,3,0)*VLOOKUP('Données projet'!$B$10,Paramètres!$A$1:$I$89,5,0)</f>
        <v>169.56613439999995</v>
      </c>
      <c r="AK60" s="13">
        <f t="shared" si="35"/>
        <v>42.992837676626557</v>
      </c>
      <c r="AL60" s="20">
        <f t="shared" si="4"/>
        <v>370.20687636679116</v>
      </c>
      <c r="AM60" s="59">
        <f t="shared" si="5"/>
        <v>663.54020970012448</v>
      </c>
      <c r="AN60" s="59">
        <f ca="1">AVERAGE(OFFSET($AM$3,0,0,'Données projet'!$E$10+1,1))-AVERAGE(OFFSET($H$3,0,0,'Données projet'!$E$10+1,1))</f>
        <v>259.91478350500478</v>
      </c>
      <c r="AO60" s="59">
        <f t="shared" si="36"/>
        <v>192.27194887051007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29.427029488596361</v>
      </c>
      <c r="AV60" s="21">
        <f>EXP(-LN(2)/25)*AV59+(1-EXP(-LN(2)/25))/(LN(2)/25)*Calculateur!AQ60*Calculateur!AS60*VLOOKUP('Données projet'!$B$10,Paramètres!$A$1:$I$89,3,0)*0.475*44/12</f>
        <v>8.4486081015273449</v>
      </c>
      <c r="AW60" s="21">
        <f>EXP(-LN(2)/2)*AW59+(1-EXP(-LN(2)/2))/(LN(2)/2)*AQ60*AT60*VLOOKUP('Données projet'!$B$10,Paramètres!$A$1:$I$89,3,0)*0.475*44/12</f>
        <v>0.42483598619207608</v>
      </c>
      <c r="AX60" s="21">
        <f t="shared" si="6"/>
        <v>38.300473576315781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</v>
      </c>
      <c r="BD60" s="12">
        <f>IF('Données projet'!$A$88&gt;35,BD59+BC60-BL59,IF(A60&lt;'Données projet'!$A$88,$BA$205^A60,IF(A60='Données projet'!$A$88,'Données projet'!$B$88,BD59+BC60-BL59)))</f>
        <v>448.99999999999989</v>
      </c>
      <c r="BE60" s="13">
        <f>BD60*VLOOKUP('Données projet'!$B$11,Paramètres!$A$1:$I$89,3,0)*VLOOKUP('Données projet'!$B$11,Paramètres!$A$1:$I$89,5,0)</f>
        <v>268.50199999999995</v>
      </c>
      <c r="BF60" s="13">
        <f t="shared" si="37"/>
        <v>64.531253013339168</v>
      </c>
      <c r="BG60" s="20">
        <f t="shared" si="7"/>
        <v>580.03291566489895</v>
      </c>
      <c r="BH60" s="59">
        <f t="shared" si="8"/>
        <v>873.36624899823232</v>
      </c>
      <c r="BI60" s="59">
        <f ca="1">AVERAGE(OFFSET($BH$3,0,0,'Données projet'!$E$11+1,1))-AVERAGE(OFFSET($H$3,0,0,'Données projet'!$E$11+1,1))</f>
        <v>284.60021367910457</v>
      </c>
      <c r="BJ60" s="59">
        <f t="shared" si="38"/>
        <v>301.41905904220812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64.918776732713908</v>
      </c>
      <c r="BQ60" s="21">
        <f>EXP(-LN(2)/25)*BQ59+(1-EXP(-LN(2)/25))/(LN(2)/25)*Calculateur!BL60*Calculateur!BN60*VLOOKUP('Données projet'!$B$11,Paramètres!$A$1:$I$89,3,0)*0.475*44/12</f>
        <v>14.7591427898949</v>
      </c>
      <c r="BR60" s="21">
        <f>EXP(-LN(2)/2)*BR59+(1-EXP(-LN(2)/2))/(LN(2)/2)*BL60*BO60*VLOOKUP('Données projet'!$B$11,Paramètres!$A$1:$I$89,3,0)*0.475*44/12</f>
        <v>2.6105767794029537</v>
      </c>
      <c r="BS60" s="22">
        <f t="shared" si="9"/>
        <v>82.288496302011751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12.2</v>
      </c>
      <c r="BY60" s="12">
        <f>IF('Données projet'!$A$114&gt;35,BY59+BX60-CG59,IF(A60&lt;'Données projet'!$A$114,$BV$205^A60,IF(A60='Données projet'!$A$114,'Données projet'!$B$114,BY59+BX60-CG59)))</f>
        <v>717.39999999999952</v>
      </c>
      <c r="BZ60" s="13">
        <f>BY60*VLOOKUP('Données projet'!$B$12,Paramètres!$A$1:$I$89,3,0)*VLOOKUP('Données projet'!$B$12,Paramètres!$A$1:$I$89,5,0)</f>
        <v>401.02659999999975</v>
      </c>
      <c r="CA60" s="13">
        <f t="shared" si="39"/>
        <v>91.984761558101539</v>
      </c>
      <c r="CB60" s="20">
        <f t="shared" si="10"/>
        <v>858.66145471369293</v>
      </c>
      <c r="CC60" s="59">
        <f t="shared" si="11"/>
        <v>1151.9947880470263</v>
      </c>
      <c r="CD60" s="59">
        <f ca="1">AVERAGE(OFFSET($CC$3,0,0,'Données projet'!$E$12+1,1))-AVERAGE(OFFSET($H$3,0,0,'Données projet'!$E$12+1,1))</f>
        <v>490.96084572840579</v>
      </c>
      <c r="CE60" s="59">
        <f t="shared" si="40"/>
        <v>597.91658789908263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95.576237994459007</v>
      </c>
      <c r="CL60" s="21">
        <f>EXP(-LN(2)/25)*CL59+(1-EXP(-LN(2)/25))/(LN(2)/25)*Calculateur!CG60*Calculateur!CI60*VLOOKUP('Données projet'!$B$12,Paramètres!$A$1:$I$89,3,0)*0.475*44/12</f>
        <v>23.63577163590141</v>
      </c>
      <c r="CM60" s="21">
        <f>EXP(-LN(2)/2)*CM59+(1-EXP(-LN(2)/2))/(LN(2)/2)*CG60*CJ60*VLOOKUP('Données projet'!$B$12,Paramètres!$A$1:$I$89,3,0)*0.475*44/12</f>
        <v>2.4843814017935548</v>
      </c>
      <c r="CN60" s="22">
        <f t="shared" si="12"/>
        <v>121.69639103215397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13.333333333333334</v>
      </c>
      <c r="N61" s="13">
        <f>IF('Données projet'!$A$36&gt;35,N60+M61-V60,IF(A61&lt;'Données projet'!$A$36,$K$205^A61,IF(A61='Données projet'!$A$36,'Données projet'!$B$36,N60+M61-V60)))</f>
        <v>507.33333333333297</v>
      </c>
      <c r="O61" s="13">
        <f>N61*VLOOKUP('Données projet'!$B$9,Paramètres!$A$1:$I$89,3,0)*VLOOKUP('Données projet'!$B$9,Paramètres!$A$1:$I$89,5,0)</f>
        <v>316.57599999999974</v>
      </c>
      <c r="P61" s="13">
        <f t="shared" si="33"/>
        <v>74.640478438390105</v>
      </c>
      <c r="Q61" s="20">
        <f t="shared" si="53"/>
        <v>681.36869994686231</v>
      </c>
      <c r="R61" s="59">
        <f t="shared" si="0"/>
        <v>974.70203328019556</v>
      </c>
      <c r="S61" s="59">
        <f ca="1">AVERAGE(OFFSET($R$3,0,0,'Données projet'!$E$9+1,1))-AVERAGE(OFFSET($H$3,0,0,'Données projet'!$E$9+1,1))</f>
        <v>482.28841373508675</v>
      </c>
      <c r="T61" s="59">
        <f t="shared" si="34"/>
        <v>746.97309214631684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152.07064853833256</v>
      </c>
      <c r="AA61" s="21">
        <f>EXP(-LN(2)/25)*AA60+(1-EXP(-LN(2)/25))/(LN(2)/25)*Calculateur!V61*Calculateur!X61*VLOOKUP('Données projet'!$B$9,Paramètres!$A$1:$I$89,3,0)*0.475*44/12</f>
        <v>32.51834523219204</v>
      </c>
      <c r="AB61" s="21">
        <f>EXP(-LN(2)/2)*AB60+(1-EXP(-LN(2)/2))/(LN(2)/2)*V61*Y61*VLOOKUP('Données projet'!$B$9,Paramètres!$A$1:$I$89,3,0)*0.475*44/12</f>
        <v>3.1830511197212581</v>
      </c>
      <c r="AC61" s="22">
        <f t="shared" si="3"/>
        <v>187.77204489024587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13.5</v>
      </c>
      <c r="AI61" s="13">
        <f>IF('Données projet'!$A$62&gt;35,AI60+AH61-AQ60,IF(A61&lt;'Données projet'!$A$62,$AF$205^A61,IF(A61='Données projet'!$A$62,'Données projet'!$B$62,AI60+AH61-AQ60)))</f>
        <v>375.82079999999991</v>
      </c>
      <c r="AJ61" s="13">
        <f>AI61*VLOOKUP('Données projet'!$B$10,Paramètres!$A$1:$I$89,3,0)*VLOOKUP('Données projet'!$B$10,Paramètres!$A$1:$I$89,5,0)</f>
        <v>175.88413439999994</v>
      </c>
      <c r="AK61" s="13">
        <f t="shared" si="35"/>
        <v>44.40525278813422</v>
      </c>
      <c r="AL61" s="20">
        <f t="shared" si="4"/>
        <v>383.67068268600025</v>
      </c>
      <c r="AM61" s="59">
        <f t="shared" si="5"/>
        <v>677.00401601933356</v>
      </c>
      <c r="AN61" s="59">
        <f ca="1">AVERAGE(OFFSET($AM$3,0,0,'Données projet'!$E$10+1,1))-AVERAGE(OFFSET($H$3,0,0,'Données projet'!$E$10+1,1))</f>
        <v>259.91478350500478</v>
      </c>
      <c r="AO61" s="59">
        <f t="shared" si="36"/>
        <v>192.27194887051007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28.849983389040684</v>
      </c>
      <c r="AV61" s="21">
        <f>EXP(-LN(2)/25)*AV60+(1-EXP(-LN(2)/25))/(LN(2)/25)*Calculateur!AQ61*Calculateur!AS61*VLOOKUP('Données projet'!$B$10,Paramètres!$A$1:$I$89,3,0)*0.475*44/12</f>
        <v>8.21758046869809</v>
      </c>
      <c r="AW61" s="21">
        <f>EXP(-LN(2)/2)*AW60+(1-EXP(-LN(2)/2))/(LN(2)/2)*AQ61*AT61*VLOOKUP('Données projet'!$B$10,Paramètres!$A$1:$I$89,3,0)*0.475*44/12</f>
        <v>0.3004044067284915</v>
      </c>
      <c r="AX61" s="21">
        <f t="shared" si="6"/>
        <v>37.367968264467265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</v>
      </c>
      <c r="BD61" s="12">
        <f>IF('Données projet'!$A$88&gt;35,BD60+BC61-BL60,IF(A61&lt;'Données projet'!$A$88,$BA$205^A61,IF(A61='Données projet'!$A$88,'Données projet'!$B$88,BD60+BC61-BL60)))</f>
        <v>465.99999999999989</v>
      </c>
      <c r="BE61" s="13">
        <f>BD61*VLOOKUP('Données projet'!$B$11,Paramètres!$A$1:$I$89,3,0)*VLOOKUP('Données projet'!$B$11,Paramètres!$A$1:$I$89,5,0)</f>
        <v>278.66799999999995</v>
      </c>
      <c r="BF61" s="13">
        <f t="shared" si="37"/>
        <v>66.685440917424486</v>
      </c>
      <c r="BG61" s="20">
        <f t="shared" si="7"/>
        <v>601.49057626451429</v>
      </c>
      <c r="BH61" s="59">
        <f t="shared" si="8"/>
        <v>894.82390959784766</v>
      </c>
      <c r="BI61" s="59">
        <f ca="1">AVERAGE(OFFSET($BH$3,0,0,'Données projet'!$E$11+1,1))-AVERAGE(OFFSET($H$3,0,0,'Données projet'!$E$11+1,1))</f>
        <v>284.60021367910457</v>
      </c>
      <c r="BJ61" s="59">
        <f t="shared" si="38"/>
        <v>301.41905904220812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63.645759117529359</v>
      </c>
      <c r="BQ61" s="21">
        <f>EXP(-LN(2)/25)*BQ60+(1-EXP(-LN(2)/25))/(LN(2)/25)*Calculateur!BL61*Calculateur!BN61*VLOOKUP('Données projet'!$B$11,Paramètres!$A$1:$I$89,3,0)*0.475*44/12</f>
        <v>14.355553254155637</v>
      </c>
      <c r="BR61" s="21">
        <f>EXP(-LN(2)/2)*BR60+(1-EXP(-LN(2)/2))/(LN(2)/2)*BL61*BO61*VLOOKUP('Données projet'!$B$11,Paramètres!$A$1:$I$89,3,0)*0.475*44/12</f>
        <v>1.8459565435239664</v>
      </c>
      <c r="BS61" s="22">
        <f t="shared" si="9"/>
        <v>79.847268915208971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12.2</v>
      </c>
      <c r="BY61" s="12">
        <f>IF('Données projet'!$A$114&gt;35,BY60+BX61-CG60,IF(A61&lt;'Données projet'!$A$114,$BV$205^A61,IF(A61='Données projet'!$A$114,'Données projet'!$B$114,BY60+BX61-CG60)))</f>
        <v>729.59999999999957</v>
      </c>
      <c r="BZ61" s="13">
        <f>BY61*VLOOKUP('Données projet'!$B$12,Paramètres!$A$1:$I$89,3,0)*VLOOKUP('Données projet'!$B$12,Paramètres!$A$1:$I$89,5,0)</f>
        <v>407.84639999999973</v>
      </c>
      <c r="CA61" s="13">
        <f t="shared" si="39"/>
        <v>93.365599460181741</v>
      </c>
      <c r="CB61" s="20">
        <f t="shared" si="10"/>
        <v>872.94423239314926</v>
      </c>
      <c r="CC61" s="59">
        <f t="shared" si="11"/>
        <v>1166.2775657264826</v>
      </c>
      <c r="CD61" s="59">
        <f ca="1">AVERAGE(OFFSET($CC$3,0,0,'Données projet'!$E$12+1,1))-AVERAGE(OFFSET($H$3,0,0,'Données projet'!$E$12+1,1))</f>
        <v>490.96084572840579</v>
      </c>
      <c r="CE61" s="59">
        <f t="shared" si="40"/>
        <v>597.91658789908263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93.702046263136609</v>
      </c>
      <c r="CL61" s="21">
        <f>EXP(-LN(2)/25)*CL60+(1-EXP(-LN(2)/25))/(LN(2)/25)*Calculateur!CG61*Calculateur!CI61*VLOOKUP('Données projet'!$B$12,Paramètres!$A$1:$I$89,3,0)*0.475*44/12</f>
        <v>22.989450217566475</v>
      </c>
      <c r="CM61" s="21">
        <f>EXP(-LN(2)/2)*CM60+(1-EXP(-LN(2)/2))/(LN(2)/2)*CG61*CJ61*VLOOKUP('Données projet'!$B$12,Paramètres!$A$1:$I$89,3,0)*0.475*44/12</f>
        <v>1.7567229362619634</v>
      </c>
      <c r="CN61" s="22">
        <f t="shared" si="12"/>
        <v>118.44821941696505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13.333333333333334</v>
      </c>
      <c r="N62" s="13">
        <f>IF('Données projet'!$A$36&gt;35,N61+M62-V61,IF(A62&lt;'Données projet'!$A$36,$K$205^A62,IF(A62='Données projet'!$A$36,'Données projet'!$B$36,N61+M62-V61)))</f>
        <v>520.66666666666629</v>
      </c>
      <c r="O62" s="13">
        <f>N62*VLOOKUP('Données projet'!$B$9,Paramètres!$A$1:$I$89,3,0)*VLOOKUP('Données projet'!$B$9,Paramètres!$A$1:$I$89,5,0)</f>
        <v>324.89599999999979</v>
      </c>
      <c r="P62" s="13">
        <f t="shared" si="33"/>
        <v>76.371159683916659</v>
      </c>
      <c r="Q62" s="20">
        <f t="shared" si="53"/>
        <v>698.87363644948789</v>
      </c>
      <c r="R62" s="59">
        <f t="shared" si="0"/>
        <v>992.20696978282126</v>
      </c>
      <c r="S62" s="59">
        <f ca="1">AVERAGE(OFFSET($R$3,0,0,'Données projet'!$E$9+1,1))-AVERAGE(OFFSET($H$3,0,0,'Données projet'!$E$9+1,1))</f>
        <v>482.28841373508675</v>
      </c>
      <c r="T62" s="59">
        <f t="shared" si="34"/>
        <v>746.97309214631684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149.08863587443278</v>
      </c>
      <c r="AA62" s="21">
        <f>EXP(-LN(2)/25)*AA61+(1-EXP(-LN(2)/25))/(LN(2)/25)*Calculateur!V62*Calculateur!X62*VLOOKUP('Données projet'!$B$9,Paramètres!$A$1:$I$89,3,0)*0.475*44/12</f>
        <v>31.629129371752295</v>
      </c>
      <c r="AB62" s="21">
        <f>EXP(-LN(2)/2)*AB61+(1-EXP(-LN(2)/2))/(LN(2)/2)*V62*Y62*VLOOKUP('Données projet'!$B$9,Paramètres!$A$1:$I$89,3,0)*0.475*44/12</f>
        <v>2.2507570316183347</v>
      </c>
      <c r="AC62" s="22">
        <f t="shared" si="3"/>
        <v>182.9685222778034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13.5</v>
      </c>
      <c r="AI62" s="13">
        <f>IF('Données projet'!$A$62&gt;35,AI61+AH62-AQ61,IF(A62&lt;'Données projet'!$A$62,$AF$205^A62,IF(A62='Données projet'!$A$62,'Données projet'!$B$62,AI61+AH62-AQ61)))</f>
        <v>389.32079999999991</v>
      </c>
      <c r="AJ62" s="13">
        <f>AI62*VLOOKUP('Données projet'!$B$10,Paramètres!$A$1:$I$89,3,0)*VLOOKUP('Données projet'!$B$10,Paramètres!$A$1:$I$89,5,0)</f>
        <v>182.20213439999995</v>
      </c>
      <c r="AK62" s="13">
        <f t="shared" si="35"/>
        <v>45.811773231894605</v>
      </c>
      <c r="AL62" s="20">
        <f t="shared" si="4"/>
        <v>397.12422245888297</v>
      </c>
      <c r="AM62" s="59">
        <f t="shared" si="5"/>
        <v>690.45755579221623</v>
      </c>
      <c r="AN62" s="59">
        <f ca="1">AVERAGE(OFFSET($AM$3,0,0,'Données projet'!$E$10+1,1))-AVERAGE(OFFSET($H$3,0,0,'Données projet'!$E$10+1,1))</f>
        <v>259.91478350500478</v>
      </c>
      <c r="AO62" s="59">
        <f t="shared" si="36"/>
        <v>192.27194887051007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28.284252811533928</v>
      </c>
      <c r="AV62" s="21">
        <f>EXP(-LN(2)/25)*AV61+(1-EXP(-LN(2)/25))/(LN(2)/25)*Calculateur!AQ62*Calculateur!AS62*VLOOKUP('Données projet'!$B$10,Paramètres!$A$1:$I$89,3,0)*0.475*44/12</f>
        <v>7.9928702986377651</v>
      </c>
      <c r="AW62" s="21">
        <f>EXP(-LN(2)/2)*AW61+(1-EXP(-LN(2)/2))/(LN(2)/2)*AQ62*AT62*VLOOKUP('Données projet'!$B$10,Paramètres!$A$1:$I$89,3,0)*0.475*44/12</f>
        <v>0.21241799309603809</v>
      </c>
      <c r="AX62" s="21">
        <f t="shared" si="6"/>
        <v>36.489541103267733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</v>
      </c>
      <c r="BD62" s="12">
        <f>IF('Données projet'!$A$88&gt;35,BD61+BC62-BL61,IF(A62&lt;'Données projet'!$A$88,$BA$205^A62,IF(A62='Données projet'!$A$88,'Données projet'!$B$88,BD61+BC62-BL61)))</f>
        <v>482.99999999999989</v>
      </c>
      <c r="BE62" s="13">
        <f>BD62*VLOOKUP('Données projet'!$B$11,Paramètres!$A$1:$I$89,3,0)*VLOOKUP('Données projet'!$B$11,Paramètres!$A$1:$I$89,5,0)</f>
        <v>288.83399999999995</v>
      </c>
      <c r="BF62" s="13">
        <f t="shared" si="37"/>
        <v>68.83049863656332</v>
      </c>
      <c r="BG62" s="20">
        <f t="shared" si="7"/>
        <v>622.93233512534766</v>
      </c>
      <c r="BH62" s="59">
        <f t="shared" si="8"/>
        <v>916.26566845868092</v>
      </c>
      <c r="BI62" s="59">
        <f ca="1">AVERAGE(OFFSET($BH$3,0,0,'Données projet'!$E$11+1,1))-AVERAGE(OFFSET($H$3,0,0,'Données projet'!$E$11+1,1))</f>
        <v>284.60021367910457</v>
      </c>
      <c r="BJ62" s="59">
        <f t="shared" si="38"/>
        <v>301.41905904220812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62.397704601314508</v>
      </c>
      <c r="BQ62" s="21">
        <f>EXP(-LN(2)/25)*BQ61+(1-EXP(-LN(2)/25))/(LN(2)/25)*Calculateur!BL62*Calculateur!BN62*VLOOKUP('Données projet'!$B$11,Paramètres!$A$1:$I$89,3,0)*0.475*44/12</f>
        <v>13.962999895495017</v>
      </c>
      <c r="BR62" s="21">
        <f>EXP(-LN(2)/2)*BR61+(1-EXP(-LN(2)/2))/(LN(2)/2)*BL62*BO62*VLOOKUP('Données projet'!$B$11,Paramètres!$A$1:$I$89,3,0)*0.475*44/12</f>
        <v>1.3052883897014771</v>
      </c>
      <c r="BS62" s="22">
        <f t="shared" si="9"/>
        <v>77.665992886510992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12.2</v>
      </c>
      <c r="BY62" s="12">
        <f>IF('Données projet'!$A$114&gt;35,BY61+BX62-CG61,IF(A62&lt;'Données projet'!$A$114,$BV$205^A62,IF(A62='Données projet'!$A$114,'Données projet'!$B$114,BY61+BX62-CG61)))</f>
        <v>741.79999999999961</v>
      </c>
      <c r="BZ62" s="13">
        <f>BY62*VLOOKUP('Données projet'!$B$12,Paramètres!$A$1:$I$89,3,0)*VLOOKUP('Données projet'!$B$12,Paramètres!$A$1:$I$89,5,0)</f>
        <v>414.66619999999978</v>
      </c>
      <c r="CA62" s="13">
        <f t="shared" si="39"/>
        <v>94.743752206399009</v>
      </c>
      <c r="CB62" s="20">
        <f t="shared" si="10"/>
        <v>887.22233342614447</v>
      </c>
      <c r="CC62" s="59">
        <f t="shared" si="11"/>
        <v>1180.5556667594778</v>
      </c>
      <c r="CD62" s="59">
        <f ca="1">AVERAGE(OFFSET($CC$3,0,0,'Données projet'!$E$12+1,1))-AVERAGE(OFFSET($H$3,0,0,'Données projet'!$E$12+1,1))</f>
        <v>490.96084572840579</v>
      </c>
      <c r="CE62" s="59">
        <f t="shared" si="40"/>
        <v>597.91658789908263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91.864606288521372</v>
      </c>
      <c r="CL62" s="21">
        <f>EXP(-LN(2)/25)*CL61+(1-EXP(-LN(2)/25))/(LN(2)/25)*Calculateur!CG62*Calculateur!CI62*VLOOKUP('Données projet'!$B$12,Paramètres!$A$1:$I$89,3,0)*0.475*44/12</f>
        <v>22.360802492404474</v>
      </c>
      <c r="CM62" s="21">
        <f>EXP(-LN(2)/2)*CM61+(1-EXP(-LN(2)/2))/(LN(2)/2)*CG62*CJ62*VLOOKUP('Données projet'!$B$12,Paramètres!$A$1:$I$89,3,0)*0.475*44/12</f>
        <v>1.2421907008967774</v>
      </c>
      <c r="CN62" s="22">
        <f t="shared" si="12"/>
        <v>115.46759948182262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534</v>
      </c>
      <c r="L63" s="12">
        <f>VLOOKUP(A63,'Données projet'!$A$35:$I$55,9,0)</f>
        <v>13.333333333333334</v>
      </c>
      <c r="M63" s="12">
        <f t="array" ref="M63">INDEX(L:L,MIN(IF(ISNUMBER(L63:L259),ROW(L63:L259),"")))</f>
        <v>13.333333333333334</v>
      </c>
      <c r="N63" s="13">
        <f>IF('Données projet'!$A$36&gt;35,N62+M63-V62,IF(A63&lt;'Données projet'!$A$36,$K$205^A63,IF(A63='Données projet'!$A$36,'Données projet'!$B$36,N62+M63-V62)))</f>
        <v>533.99999999999966</v>
      </c>
      <c r="O63" s="13">
        <f>N63*VLOOKUP('Données projet'!$B$9,Paramètres!$A$1:$I$89,3,0)*VLOOKUP('Données projet'!$B$9,Paramètres!$A$1:$I$89,5,0)</f>
        <v>333.21599999999978</v>
      </c>
      <c r="P63" s="13">
        <f t="shared" si="33"/>
        <v>78.096689211412567</v>
      </c>
      <c r="Q63" s="20">
        <f t="shared" si="53"/>
        <v>716.36960037654308</v>
      </c>
      <c r="R63" s="59">
        <f t="shared" si="0"/>
        <v>1009.7029337098763</v>
      </c>
      <c r="S63" s="59">
        <f ca="1">AVERAGE(OFFSET($R$3,0,0,'Données projet'!$E$9+1,1))-AVERAGE(OFFSET($H$3,0,0,'Données projet'!$E$9+1,1))</f>
        <v>482.28841373508675</v>
      </c>
      <c r="T63" s="59">
        <f t="shared" si="34"/>
        <v>746.97309214631684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112</v>
      </c>
      <c r="W63" s="16">
        <f>IF(ISNA(VLOOKUP(A63,'Données projet'!$A$35:$I$55,5,0)),0%,VLOOKUP(A63,'Données projet'!$A$35:$I$55,5,0)*VLOOKUP('Données projet'!$B$9,Paramètres!$A$1:$I$89,7,0))</f>
        <v>0.42</v>
      </c>
      <c r="X63" s="16">
        <f>IF(ISNA(VLOOKUP(A63,'Données projet'!$A$35:$I$55,6,0)),0%,VLOOKUP(A63,'Données projet'!$A$35:$I$55,6,0)*VLOOKUP('Données projet'!$B$9,Paramètres!$A$1:$I$89,7,0))</f>
        <v>0.1008</v>
      </c>
      <c r="Y63" s="16">
        <f>IF(ISNA(VLOOKUP(A63,'Données projet'!$A$35:$I$55,7,0)),0%,VLOOKUP(A63,'Données projet'!$A$35:$I$55,7,0))</f>
        <v>0.13200000000000001</v>
      </c>
      <c r="Z63" s="21">
        <f>EXP(-LN(2)/35)*Z62+(1-EXP(-LN(2)/35))/(LN(2)/35)*V63*W63*VLOOKUP('Données projet'!$B$9,Paramètres!$A$1:$I$89,3,0)*0.475*44/12</f>
        <v>185.10369205796255</v>
      </c>
      <c r="AA63" s="21">
        <f>EXP(-LN(2)/25)*AA62+(1-EXP(-LN(2)/25))/(LN(2)/25)*Calculateur!V63*Calculateur!X63*VLOOKUP('Données projet'!$B$9,Paramètres!$A$1:$I$89,3,0)*0.475*44/12</f>
        <v>40.072695722329385</v>
      </c>
      <c r="AB63" s="21">
        <f>EXP(-LN(2)/2)*AB62+(1-EXP(-LN(2)/2))/(LN(2)/2)*V63*Y63*VLOOKUP('Données projet'!$B$9,Paramètres!$A$1:$I$89,3,0)*0.475*44/12</f>
        <v>12.036613066718544</v>
      </c>
      <c r="AC63" s="22">
        <f t="shared" si="3"/>
        <v>237.21300084701045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402.82080000000002</v>
      </c>
      <c r="AG63" s="12">
        <f>VLOOKUP(A63,'Données projet'!$A$61:$I$81,9,0)</f>
        <v>13.5</v>
      </c>
      <c r="AH63" s="12">
        <f t="array" ref="AH63">INDEX(AG:AG,MIN(IF(ISNUMBER(AG63:AG259),ROW(AG63:AG259),"")))</f>
        <v>13.5</v>
      </c>
      <c r="AI63" s="13">
        <f>IF('Données projet'!$A$62&gt;35,AI62+AH63-AQ62,IF(A63&lt;'Données projet'!$A$62,$AF$205^A63,IF(A63='Données projet'!$A$62,'Données projet'!$B$62,AI62+AH63-AQ62)))</f>
        <v>402.82079999999991</v>
      </c>
      <c r="AJ63" s="13">
        <f>AI63*VLOOKUP('Données projet'!$B$10,Paramètres!$A$1:$I$89,3,0)*VLOOKUP('Données projet'!$B$10,Paramètres!$A$1:$I$89,5,0)</f>
        <v>188.52013439999993</v>
      </c>
      <c r="AK63" s="13">
        <f t="shared" si="35"/>
        <v>47.21262683537536</v>
      </c>
      <c r="AL63" s="20">
        <f t="shared" si="4"/>
        <v>410.56789248494528</v>
      </c>
      <c r="AM63" s="59">
        <f t="shared" si="5"/>
        <v>703.90122581827859</v>
      </c>
      <c r="AN63" s="59">
        <f ca="1">AVERAGE(OFFSET($AM$3,0,0,'Données projet'!$E$10+1,1))-AVERAGE(OFFSET($H$3,0,0,'Données projet'!$E$10+1,1))</f>
        <v>259.91478350500478</v>
      </c>
      <c r="AO63" s="59">
        <f t="shared" si="36"/>
        <v>192.27194887051007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80.564160000000015</v>
      </c>
      <c r="AR63" s="16">
        <f>IF(ISNA(VLOOKUP(A63,'Données projet'!$A$61:$I$81,5,0)),0%,VLOOKUP(A63,'Données projet'!$A$61:$I$81,5,0)*VLOOKUP('Données projet'!$B$10,Paramètres!$A$1:$I$89,7,0))</f>
        <v>0.38500000000000001</v>
      </c>
      <c r="AS63" s="16">
        <f>IF(ISNA(VLOOKUP(A63,'Données projet'!$A$61:$I$81,6,0)),0%,VLOOKUP(A63,'Données projet'!$A$61:$I$81,6,0)*VLOOKUP('Données projet'!$B$10,Paramètres!$A$1:$I$89,7,0))</f>
        <v>9.240000000000001E-2</v>
      </c>
      <c r="AT63" s="16">
        <f>IF(ISNA(VLOOKUP(A63,'Données projet'!$A$61:$I$81,7,0)),0%,VLOOKUP(A63,'Données projet'!$A$61:$I$81,7,0))</f>
        <v>0.13200000000000001</v>
      </c>
      <c r="AU63" s="21">
        <f>EXP(-LN(2)/35)*AU62+(1-EXP(-LN(2)/35))/(LN(2)/35)*AQ63*AR63*VLOOKUP('Données projet'!$B$10,Paramètres!$A$1:$I$89,3,0)*0.475*44/12</f>
        <v>46.986092291679327</v>
      </c>
      <c r="AV63" s="21">
        <f>EXP(-LN(2)/25)*AV62+(1-EXP(-LN(2)/25))/(LN(2)/25)*Calculateur!AQ63*Calculateur!AS63*VLOOKUP('Données projet'!$B$10,Paramètres!$A$1:$I$89,3,0)*0.475*44/12</f>
        <v>12.37766236186031</v>
      </c>
      <c r="AW63" s="21">
        <f>EXP(-LN(2)/2)*AW62+(1-EXP(-LN(2)/2))/(LN(2)/2)*AQ63*AT63*VLOOKUP('Données projet'!$B$10,Paramètres!$A$1:$I$89,3,0)*0.475*44/12</f>
        <v>5.7852448447693945</v>
      </c>
      <c r="AX63" s="21">
        <f t="shared" si="6"/>
        <v>65.148999498309024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500</v>
      </c>
      <c r="BB63" s="12">
        <f>VLOOKUP(A63,'Données projet'!$A$87:$I$107,9,0)</f>
        <v>17</v>
      </c>
      <c r="BC63" s="12">
        <f t="array" ref="BC63">INDEX(BB:BB,MIN(IF(ISNUMBER(BB63:BB259),ROW(BB63:BB259),"")))</f>
        <v>17</v>
      </c>
      <c r="BD63" s="12">
        <f>IF('Données projet'!$A$88&gt;35,BD62+BC63-BL62,IF(A63&lt;'Données projet'!$A$88,$BA$205^A63,IF(A63='Données projet'!$A$88,'Données projet'!$B$88,BD62+BC63-BL62)))</f>
        <v>499.99999999999989</v>
      </c>
      <c r="BE63" s="13">
        <f>BD63*VLOOKUP('Données projet'!$B$11,Paramètres!$A$1:$I$89,3,0)*VLOOKUP('Données projet'!$B$11,Paramètres!$A$1:$I$89,5,0)</f>
        <v>299</v>
      </c>
      <c r="BF63" s="13">
        <f t="shared" si="37"/>
        <v>70.966784344875109</v>
      </c>
      <c r="BG63" s="20">
        <f t="shared" si="7"/>
        <v>644.35881606732414</v>
      </c>
      <c r="BH63" s="59">
        <f t="shared" si="8"/>
        <v>937.6921494006574</v>
      </c>
      <c r="BI63" s="59">
        <f ca="1">AVERAGE(OFFSET($BH$3,0,0,'Données projet'!$E$11+1,1))-AVERAGE(OFFSET($H$3,0,0,'Données projet'!$E$11+1,1))</f>
        <v>284.60021367910457</v>
      </c>
      <c r="BJ63" s="59">
        <f t="shared" si="38"/>
        <v>301.41905904220812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32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7.5600000000000001E-2</v>
      </c>
      <c r="BO63" s="16">
        <f>IF(ISNA(VLOOKUP(A63,'Données projet'!$A$87:$I$107,7,0)),0%,VLOOKUP(A63,'Données projet'!$A$87:$I$107,7,0))</f>
        <v>0.13200000000000001</v>
      </c>
      <c r="BP63" s="21">
        <f>EXP(-LN(2)/35)*BP62+(1-EXP(-LN(2)/35))/(LN(2)/35)*BL63*BM63*VLOOKUP('Données projet'!$B$11,Paramètres!$A$1:$I$89,3,0)*0.475*44/12</f>
        <v>69.170441960001213</v>
      </c>
      <c r="BQ63" s="21">
        <f>EXP(-LN(2)/25)*BQ62+(1-EXP(-LN(2)/25))/(LN(2)/25)*Calculateur!BL63*Calculateur!BN63*VLOOKUP('Données projet'!$B$11,Paramètres!$A$1:$I$89,3,0)*0.475*44/12</f>
        <v>15.492741025505092</v>
      </c>
      <c r="BR63" s="21">
        <f>EXP(-LN(2)/2)*BR62+(1-EXP(-LN(2)/2))/(LN(2)/2)*BL63*BO63*VLOOKUP('Données projet'!$B$11,Paramètres!$A$1:$I$89,3,0)*0.475*44/12</f>
        <v>3.7829427081635547</v>
      </c>
      <c r="BS63" s="22">
        <f t="shared" si="9"/>
        <v>88.44612569366987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754</v>
      </c>
      <c r="BW63" s="12">
        <f>VLOOKUP(A63,'Données projet'!$A$113:$I$133,9,0)</f>
        <v>12.2</v>
      </c>
      <c r="BX63" s="12">
        <f t="array" ref="BX63">INDEX(BW:BW,MIN(IF(ISNUMBER(BW63:BW259),ROW(BW63:BW259),"")))</f>
        <v>12.2</v>
      </c>
      <c r="BY63" s="12">
        <f>IF('Données projet'!$A$114&gt;35,BY62+BX63-CG62,IF(A63&lt;'Données projet'!$A$114,$BV$205^A63,IF(A63='Données projet'!$A$114,'Données projet'!$B$114,BY62+BX63-CG62)))</f>
        <v>753.99999999999966</v>
      </c>
      <c r="BZ63" s="13">
        <f>BY63*VLOOKUP('Données projet'!$B$12,Paramètres!$A$1:$I$89,3,0)*VLOOKUP('Données projet'!$B$12,Paramètres!$A$1:$I$89,5,0)</f>
        <v>421.48599999999982</v>
      </c>
      <c r="CA63" s="13">
        <f t="shared" si="39"/>
        <v>96.119269055816147</v>
      </c>
      <c r="CB63" s="20">
        <f t="shared" si="10"/>
        <v>901.49584360554616</v>
      </c>
      <c r="CC63" s="59">
        <f t="shared" si="11"/>
        <v>1194.8291769388795</v>
      </c>
      <c r="CD63" s="59">
        <f ca="1">AVERAGE(OFFSET($CC$3,0,0,'Données projet'!$E$12+1,1))-AVERAGE(OFFSET($H$3,0,0,'Données projet'!$E$12+1,1))</f>
        <v>490.96084572840579</v>
      </c>
      <c r="CE63" s="59">
        <f t="shared" si="40"/>
        <v>597.91658789908263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35</v>
      </c>
      <c r="CH63" s="16">
        <f>IF(ISNA(VLOOKUP(A63,'Données projet'!$A$113:$I$133,5,0)),0%,VLOOKUP(A63,'Données projet'!$A$113:$I$133,5,0)*VLOOKUP('Données projet'!$B$12,Paramètres!$A$1:$I$89,7,0))</f>
        <v>0.38500000000000001</v>
      </c>
      <c r="CI63" s="16">
        <f>IF(ISNA(VLOOKUP(A63,'Données projet'!$A$113:$I$133,6,0)),0%,VLOOKUP(A63,'Données projet'!$A$113:$I$133,6,0)*VLOOKUP('Données projet'!$B$12,Paramètres!$A$1:$I$89,7,0))</f>
        <v>9.240000000000001E-2</v>
      </c>
      <c r="CJ63" s="16">
        <f>IF(ISNA(VLOOKUP(A63,'Données projet'!$A$113:$I$133,7,0)),0%,VLOOKUP(A63,'Données projet'!$A$113:$I$133,7,0))</f>
        <v>0.13200000000000001</v>
      </c>
      <c r="CK63" s="21">
        <f>EXP(-LN(2)/35)*CK62+(1-EXP(-LN(2)/35))/(LN(2)/35)*CG63*CH63*VLOOKUP('Données projet'!$B$12,Paramètres!$A$1:$I$89,3,0)*0.475*44/12</f>
        <v>100.05557731579034</v>
      </c>
      <c r="CL63" s="21">
        <f>EXP(-LN(2)/25)*CL62+(1-EXP(-LN(2)/25))/(LN(2)/25)*Calculateur!CG63*Calculateur!CI63*VLOOKUP('Données projet'!$B$12,Paramètres!$A$1:$I$89,3,0)*0.475*44/12</f>
        <v>24.138073840558391</v>
      </c>
      <c r="CM63" s="21">
        <f>EXP(-LN(2)/2)*CM62+(1-EXP(-LN(2)/2))/(LN(2)/2)*CG63*CJ63*VLOOKUP('Données projet'!$B$12,Paramètres!$A$1:$I$89,3,0)*0.475*44/12</f>
        <v>3.8024419550768824</v>
      </c>
      <c r="CN63" s="22">
        <f t="shared" si="12"/>
        <v>127.99609311142562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13.333333333333334</v>
      </c>
      <c r="N64" s="13">
        <f>IF('Données projet'!$A$36&gt;35,N63+M64-V63,IF(A64&lt;'Données projet'!$A$36,$K$205^A64,IF(A64='Données projet'!$A$36,'Données projet'!$B$36,N63+M64-V63)))</f>
        <v>435.33333333333303</v>
      </c>
      <c r="O64" s="13">
        <f>N64*VLOOKUP('Données projet'!$B$9,Paramètres!$A$1:$I$89,3,0)*VLOOKUP('Données projet'!$B$9,Paramètres!$A$1:$I$89,5,0)</f>
        <v>271.6479999999998</v>
      </c>
      <c r="P64" s="13">
        <f t="shared" si="33"/>
        <v>65.198892519225097</v>
      </c>
      <c r="Q64" s="20">
        <f t="shared" si="53"/>
        <v>586.67500447098337</v>
      </c>
      <c r="R64" s="59">
        <f t="shared" si="0"/>
        <v>880.00833780431662</v>
      </c>
      <c r="S64" s="59">
        <f ca="1">AVERAGE(OFFSET($R$3,0,0,'Données projet'!$E$9+1,1))-AVERAGE(OFFSET($H$3,0,0,'Données projet'!$E$9+1,1))</f>
        <v>482.28841373508675</v>
      </c>
      <c r="T64" s="59">
        <f t="shared" si="34"/>
        <v>746.97309214631684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181.47392155880991</v>
      </c>
      <c r="AA64" s="21">
        <f>EXP(-LN(2)/25)*AA63+(1-EXP(-LN(2)/25))/(LN(2)/25)*Calculateur!V64*Calculateur!X64*VLOOKUP('Données projet'!$B$9,Paramètres!$A$1:$I$89,3,0)*0.475*44/12</f>
        <v>38.976905750470806</v>
      </c>
      <c r="AB64" s="21">
        <f>EXP(-LN(2)/2)*AB63+(1-EXP(-LN(2)/2))/(LN(2)/2)*V64*Y64*VLOOKUP('Données projet'!$B$9,Paramètres!$A$1:$I$89,3,0)*0.475*44/12</f>
        <v>8.5111707219952883</v>
      </c>
      <c r="AC64" s="22">
        <f t="shared" si="3"/>
        <v>228.96199803127601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15.5</v>
      </c>
      <c r="AI64" s="13">
        <f>IF('Données projet'!$A$62&gt;35,AI63+AH64-AQ63,IF(A64&lt;'Données projet'!$A$62,$AF$205^A64,IF(A64='Données projet'!$A$62,'Données projet'!$B$62,AI63+AH64-AQ63)))</f>
        <v>337.75663999999989</v>
      </c>
      <c r="AJ64" s="13">
        <f>AI64*VLOOKUP('Données projet'!$B$10,Paramètres!$A$1:$I$89,3,0)*VLOOKUP('Données projet'!$B$10,Paramètres!$A$1:$I$89,5,0)</f>
        <v>158.07010751999994</v>
      </c>
      <c r="AK64" s="13">
        <f t="shared" si="35"/>
        <v>40.406915815703918</v>
      </c>
      <c r="AL64" s="20">
        <f t="shared" si="4"/>
        <v>345.68081564301752</v>
      </c>
      <c r="AM64" s="59">
        <f t="shared" si="5"/>
        <v>639.01414897635084</v>
      </c>
      <c r="AN64" s="59">
        <f ca="1">AVERAGE(OFFSET($AM$3,0,0,'Données projet'!$E$10+1,1))-AVERAGE(OFFSET($H$3,0,0,'Données projet'!$E$10+1,1))</f>
        <v>259.91478350500478</v>
      </c>
      <c r="AO64" s="59">
        <f t="shared" si="36"/>
        <v>192.27194887051007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46.064723680525987</v>
      </c>
      <c r="AV64" s="21">
        <f>EXP(-LN(2)/25)*AV63+(1-EXP(-LN(2)/25))/(LN(2)/25)*Calculateur!AQ64*Calculateur!AS64*VLOOKUP('Données projet'!$B$10,Paramètres!$A$1:$I$89,3,0)*0.475*44/12</f>
        <v>12.039194533662265</v>
      </c>
      <c r="AW64" s="21">
        <f>EXP(-LN(2)/2)*AW63+(1-EXP(-LN(2)/2))/(LN(2)/2)*AQ64*AT64*VLOOKUP('Données projet'!$B$10,Paramètres!$A$1:$I$89,3,0)*0.475*44/12</f>
        <v>4.0907858605609544</v>
      </c>
      <c r="AX64" s="21">
        <f t="shared" si="6"/>
        <v>62.194704074749211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17.399999999999999</v>
      </c>
      <c r="BD64" s="12">
        <f>IF('Données projet'!$A$88&gt;35,BD63+BC64-BL63,IF(A64&lt;'Données projet'!$A$88,$BA$205^A64,IF(A64='Données projet'!$A$88,'Données projet'!$B$88,BD63+BC64-BL63)))</f>
        <v>485.39999999999986</v>
      </c>
      <c r="BE64" s="13">
        <f>BD64*VLOOKUP('Données projet'!$B$11,Paramètres!$A$1:$I$89,3,0)*VLOOKUP('Données projet'!$B$11,Paramètres!$A$1:$I$89,5,0)</f>
        <v>290.2691999999999</v>
      </c>
      <c r="BF64" s="13">
        <f t="shared" si="37"/>
        <v>69.13261576818384</v>
      </c>
      <c r="BG64" s="20">
        <f t="shared" si="7"/>
        <v>625.95816246291997</v>
      </c>
      <c r="BH64" s="59">
        <f t="shared" si="8"/>
        <v>919.29149579625323</v>
      </c>
      <c r="BI64" s="59">
        <f ca="1">AVERAGE(OFFSET($BH$3,0,0,'Données projet'!$E$11+1,1))-AVERAGE(OFFSET($H$3,0,0,'Données projet'!$E$11+1,1))</f>
        <v>284.60021367910457</v>
      </c>
      <c r="BJ64" s="59">
        <f t="shared" si="38"/>
        <v>301.41905904220812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67.814051782969287</v>
      </c>
      <c r="BQ64" s="21">
        <f>EXP(-LN(2)/25)*BQ63+(1-EXP(-LN(2)/25))/(LN(2)/25)*Calculateur!BL64*Calculateur!BN64*VLOOKUP('Données projet'!$B$11,Paramètres!$A$1:$I$89,3,0)*0.475*44/12</f>
        <v>15.069091207434814</v>
      </c>
      <c r="BR64" s="21">
        <f>EXP(-LN(2)/2)*BR63+(1-EXP(-LN(2)/2))/(LN(2)/2)*BL64*BO64*VLOOKUP('Données projet'!$B$11,Paramètres!$A$1:$I$89,3,0)*0.475*44/12</f>
        <v>2.6749444417826522</v>
      </c>
      <c r="BS64" s="22">
        <f t="shared" si="9"/>
        <v>85.558087432186753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</v>
      </c>
      <c r="BY64" s="12">
        <f>IF('Données projet'!$A$114&gt;35,BY63+BX64-CG63,IF(A64&lt;'Données projet'!$A$114,$BV$205^A64,IF(A64='Données projet'!$A$114,'Données projet'!$B$114,BY63+BX64-CG63)))</f>
        <v>728.99999999999966</v>
      </c>
      <c r="BZ64" s="13">
        <f>BY64*VLOOKUP('Données projet'!$B$12,Paramètres!$A$1:$I$89,3,0)*VLOOKUP('Données projet'!$B$12,Paramètres!$A$1:$I$89,5,0)</f>
        <v>407.51099999999985</v>
      </c>
      <c r="CA64" s="13">
        <f t="shared" si="39"/>
        <v>93.297752590617137</v>
      </c>
      <c r="CB64" s="20">
        <f t="shared" si="10"/>
        <v>872.24191076199133</v>
      </c>
      <c r="CC64" s="59">
        <f t="shared" si="11"/>
        <v>1165.5752440953247</v>
      </c>
      <c r="CD64" s="59">
        <f ca="1">AVERAGE(OFFSET($CC$3,0,0,'Données projet'!$E$12+1,1))-AVERAGE(OFFSET($H$3,0,0,'Données projet'!$E$12+1,1))</f>
        <v>490.96084572840579</v>
      </c>
      <c r="CE64" s="59">
        <f t="shared" si="40"/>
        <v>597.91658789908263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98.093548472503855</v>
      </c>
      <c r="CL64" s="21">
        <f>EXP(-LN(2)/25)*CL63+(1-EXP(-LN(2)/25))/(LN(2)/25)*Calculateur!CG64*Calculateur!CI64*VLOOKUP('Données projet'!$B$12,Paramètres!$A$1:$I$89,3,0)*0.475*44/12</f>
        <v>23.478016942022187</v>
      </c>
      <c r="CM64" s="21">
        <f>EXP(-LN(2)/2)*CM63+(1-EXP(-LN(2)/2))/(LN(2)/2)*CG64*CJ64*VLOOKUP('Données projet'!$B$12,Paramètres!$A$1:$I$89,3,0)*0.475*44/12</f>
        <v>2.6887324915030972</v>
      </c>
      <c r="CN64" s="22">
        <f t="shared" si="12"/>
        <v>124.26029790602915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13.333333333333334</v>
      </c>
      <c r="N65" s="13">
        <f>IF('Données projet'!$A$36&gt;35,N64+M65-V64,IF(A65&lt;'Données projet'!$A$36,$K$205^A65,IF(A65='Données projet'!$A$36,'Données projet'!$B$36,N64+M65-V64)))</f>
        <v>448.66666666666634</v>
      </c>
      <c r="O65" s="13">
        <f>N65*VLOOKUP('Données projet'!$B$9,Paramètres!$A$1:$I$89,3,0)*VLOOKUP('Données projet'!$B$9,Paramètres!$A$1:$I$89,5,0)</f>
        <v>279.96799999999979</v>
      </c>
      <c r="P65" s="13">
        <f t="shared" si="33"/>
        <v>66.960246316234532</v>
      </c>
      <c r="Q65" s="20">
        <f t="shared" si="53"/>
        <v>604.23336233410805</v>
      </c>
      <c r="R65" s="59">
        <f t="shared" si="0"/>
        <v>897.56669566744131</v>
      </c>
      <c r="S65" s="59">
        <f ca="1">AVERAGE(OFFSET($R$3,0,0,'Données projet'!$E$9+1,1))-AVERAGE(OFFSET($H$3,0,0,'Données projet'!$E$9+1,1))</f>
        <v>482.28841373508675</v>
      </c>
      <c r="T65" s="59">
        <f t="shared" si="34"/>
        <v>746.97309214631684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177.91532864520426</v>
      </c>
      <c r="AA65" s="21">
        <f>EXP(-LN(2)/25)*AA64+(1-EXP(-LN(2)/25))/(LN(2)/25)*Calculateur!V65*Calculateur!X65*VLOOKUP('Données projet'!$B$9,Paramètres!$A$1:$I$89,3,0)*0.475*44/12</f>
        <v>37.91108021301779</v>
      </c>
      <c r="AB65" s="21">
        <f>EXP(-LN(2)/2)*AB64+(1-EXP(-LN(2)/2))/(LN(2)/2)*V65*Y65*VLOOKUP('Données projet'!$B$9,Paramètres!$A$1:$I$89,3,0)*0.475*44/12</f>
        <v>6.0183065333592722</v>
      </c>
      <c r="AC65" s="22">
        <f t="shared" si="3"/>
        <v>221.8447153915813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15.5</v>
      </c>
      <c r="AI65" s="13">
        <f>IF('Données projet'!$A$62&gt;35,AI64+AH65-AQ64,IF(A65&lt;'Données projet'!$A$62,$AF$205^A65,IF(A65='Données projet'!$A$62,'Données projet'!$B$62,AI64+AH65-AQ64)))</f>
        <v>353.25663999999989</v>
      </c>
      <c r="AJ65" s="13">
        <f>AI65*VLOOKUP('Données projet'!$B$10,Paramètres!$A$1:$I$89,3,0)*VLOOKUP('Données projet'!$B$10,Paramètres!$A$1:$I$89,5,0)</f>
        <v>165.32410751999996</v>
      </c>
      <c r="AK65" s="13">
        <f t="shared" si="35"/>
        <v>42.041085368358758</v>
      </c>
      <c r="AL65" s="20">
        <f t="shared" si="4"/>
        <v>361.16104428055809</v>
      </c>
      <c r="AM65" s="59">
        <f t="shared" si="5"/>
        <v>654.4943776138914</v>
      </c>
      <c r="AN65" s="59">
        <f ca="1">AVERAGE(OFFSET($AM$3,0,0,'Données projet'!$E$10+1,1))-AVERAGE(OFFSET($H$3,0,0,'Données projet'!$E$10+1,1))</f>
        <v>259.91478350500478</v>
      </c>
      <c r="AO65" s="59">
        <f t="shared" si="36"/>
        <v>192.27194887051007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45.161422545857995</v>
      </c>
      <c r="AV65" s="21">
        <f>EXP(-LN(2)/25)*AV64+(1-EXP(-LN(2)/25))/(LN(2)/25)*Calculateur!AQ65*Calculateur!AS65*VLOOKUP('Données projet'!$B$10,Paramètres!$A$1:$I$89,3,0)*0.475*44/12</f>
        <v>11.709982126025546</v>
      </c>
      <c r="AW65" s="21">
        <f>EXP(-LN(2)/2)*AW64+(1-EXP(-LN(2)/2))/(LN(2)/2)*AQ65*AT65*VLOOKUP('Données projet'!$B$10,Paramètres!$A$1:$I$89,3,0)*0.475*44/12</f>
        <v>2.8926224223846977</v>
      </c>
      <c r="AX65" s="21">
        <f t="shared" si="6"/>
        <v>59.764027094268236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17.399999999999999</v>
      </c>
      <c r="BD65" s="12">
        <f>IF('Données projet'!$A$88&gt;35,BD64+BC65-BL64,IF(A65&lt;'Données projet'!$A$88,$BA$205^A65,IF(A65='Données projet'!$A$88,'Données projet'!$B$88,BD64+BC65-BL64)))</f>
        <v>502.79999999999984</v>
      </c>
      <c r="BE65" s="13">
        <f>BD65*VLOOKUP('Données projet'!$B$11,Paramètres!$A$1:$I$89,3,0)*VLOOKUP('Données projet'!$B$11,Paramètres!$A$1:$I$89,5,0)</f>
        <v>300.67439999999993</v>
      </c>
      <c r="BF65" s="13">
        <f t="shared" si="37"/>
        <v>71.317825137860439</v>
      </c>
      <c r="BG65" s="20">
        <f t="shared" si="7"/>
        <v>647.88645878177351</v>
      </c>
      <c r="BH65" s="59">
        <f t="shared" si="8"/>
        <v>941.21979211510688</v>
      </c>
      <c r="BI65" s="59">
        <f ca="1">AVERAGE(OFFSET($BH$3,0,0,'Données projet'!$E$11+1,1))-AVERAGE(OFFSET($H$3,0,0,'Données projet'!$E$11+1,1))</f>
        <v>284.60021367910457</v>
      </c>
      <c r="BJ65" s="59">
        <f t="shared" si="38"/>
        <v>301.41905904220812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66.484259589992647</v>
      </c>
      <c r="BQ65" s="21">
        <f>EXP(-LN(2)/25)*BQ64+(1-EXP(-LN(2)/25))/(LN(2)/25)*Calculateur!BL65*Calculateur!BN65*VLOOKUP('Données projet'!$B$11,Paramètres!$A$1:$I$89,3,0)*0.475*44/12</f>
        <v>14.657026115918443</v>
      </c>
      <c r="BR65" s="21">
        <f>EXP(-LN(2)/2)*BR64+(1-EXP(-LN(2)/2))/(LN(2)/2)*BL65*BO65*VLOOKUP('Données projet'!$B$11,Paramètres!$A$1:$I$89,3,0)*0.475*44/12</f>
        <v>1.8914713540817776</v>
      </c>
      <c r="BS65" s="22">
        <f t="shared" si="9"/>
        <v>83.032757059992861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</v>
      </c>
      <c r="BY65" s="12">
        <f>IF('Données projet'!$A$114&gt;35,BY64+BX65-CG64,IF(A65&lt;'Données projet'!$A$114,$BV$205^A65,IF(A65='Données projet'!$A$114,'Données projet'!$B$114,BY64+BX65-CG64)))</f>
        <v>738.99999999999966</v>
      </c>
      <c r="BZ65" s="13">
        <f>BY65*VLOOKUP('Données projet'!$B$12,Paramètres!$A$1:$I$89,3,0)*VLOOKUP('Données projet'!$B$12,Paramètres!$A$1:$I$89,5,0)</f>
        <v>413.10099999999983</v>
      </c>
      <c r="CA65" s="13">
        <f t="shared" si="39"/>
        <v>94.427689670462357</v>
      </c>
      <c r="CB65" s="20">
        <f t="shared" si="10"/>
        <v>883.94580117605494</v>
      </c>
      <c r="CC65" s="59">
        <f t="shared" si="11"/>
        <v>1177.2791345093883</v>
      </c>
      <c r="CD65" s="59">
        <f ca="1">AVERAGE(OFFSET($CC$3,0,0,'Données projet'!$E$12+1,1))-AVERAGE(OFFSET($H$3,0,0,'Données projet'!$E$12+1,1))</f>
        <v>490.96084572840579</v>
      </c>
      <c r="CE65" s="59">
        <f t="shared" si="40"/>
        <v>597.91658789908263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96.16999381811479</v>
      </c>
      <c r="CL65" s="21">
        <f>EXP(-LN(2)/25)*CL64+(1-EXP(-LN(2)/25))/(LN(2)/25)*Calculateur!CG65*Calculateur!CI65*VLOOKUP('Données projet'!$B$12,Paramètres!$A$1:$I$89,3,0)*0.475*44/12</f>
        <v>22.83600933408734</v>
      </c>
      <c r="CM65" s="21">
        <f>EXP(-LN(2)/2)*CM64+(1-EXP(-LN(2)/2))/(LN(2)/2)*CG65*CJ65*VLOOKUP('Données projet'!$B$12,Paramètres!$A$1:$I$89,3,0)*0.475*44/12</f>
        <v>1.9012209775384414</v>
      </c>
      <c r="CN65" s="22">
        <f t="shared" si="12"/>
        <v>120.90722412974057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13.333333333333334</v>
      </c>
      <c r="N66" s="13">
        <f>IF('Données projet'!$A$36&gt;35,N65+M66-V65,IF(A66&lt;'Données projet'!$A$36,$K$205^A66,IF(A66='Données projet'!$A$36,'Données projet'!$B$36,N65+M66-V65)))</f>
        <v>461.99999999999966</v>
      </c>
      <c r="O66" s="13">
        <f>N66*VLOOKUP('Données projet'!$B$9,Paramètres!$A$1:$I$89,3,0)*VLOOKUP('Données projet'!$B$9,Paramètres!$A$1:$I$89,5,0)</f>
        <v>288.28799999999978</v>
      </c>
      <c r="P66" s="13">
        <f t="shared" si="33"/>
        <v>68.715516926722387</v>
      </c>
      <c r="Q66" s="20">
        <f t="shared" si="53"/>
        <v>621.78112531404111</v>
      </c>
      <c r="R66" s="59">
        <f t="shared" si="0"/>
        <v>915.11445864737448</v>
      </c>
      <c r="S66" s="59">
        <f ca="1">AVERAGE(OFFSET($R$3,0,0,'Données projet'!$E$9+1,1))-AVERAGE(OFFSET($H$3,0,0,'Données projet'!$E$9+1,1))</f>
        <v>482.28841373508675</v>
      </c>
      <c r="T66" s="59">
        <f t="shared" si="34"/>
        <v>746.97309214631684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174.42651756810704</v>
      </c>
      <c r="AA66" s="21">
        <f>EXP(-LN(2)/25)*AA65+(1-EXP(-LN(2)/25))/(LN(2)/25)*Calculateur!V66*Calculateur!X66*VLOOKUP('Données projet'!$B$9,Paramètres!$A$1:$I$89,3,0)*0.475*44/12</f>
        <v>36.874399730935757</v>
      </c>
      <c r="AB66" s="21">
        <f>EXP(-LN(2)/2)*AB65+(1-EXP(-LN(2)/2))/(LN(2)/2)*V66*Y66*VLOOKUP('Données projet'!$B$9,Paramètres!$A$1:$I$89,3,0)*0.475*44/12</f>
        <v>4.2555853609976442</v>
      </c>
      <c r="AC66" s="22">
        <f t="shared" si="3"/>
        <v>215.55650266004045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15.5</v>
      </c>
      <c r="AI66" s="13">
        <f>IF('Données projet'!$A$62&gt;35,AI65+AH66-AQ65,IF(A66&lt;'Données projet'!$A$62,$AF$205^A66,IF(A66='Données projet'!$A$62,'Données projet'!$B$62,AI65+AH66-AQ65)))</f>
        <v>368.75663999999989</v>
      </c>
      <c r="AJ66" s="13">
        <f>AI66*VLOOKUP('Données projet'!$B$10,Paramètres!$A$1:$I$89,3,0)*VLOOKUP('Données projet'!$B$10,Paramètres!$A$1:$I$89,5,0)</f>
        <v>172.57810751999997</v>
      </c>
      <c r="AK66" s="13">
        <f t="shared" si="35"/>
        <v>43.666927125203792</v>
      </c>
      <c r="AL66" s="20">
        <f t="shared" si="4"/>
        <v>376.62676867372988</v>
      </c>
      <c r="AM66" s="59">
        <f t="shared" si="5"/>
        <v>669.96010200706314</v>
      </c>
      <c r="AN66" s="59">
        <f ca="1">AVERAGE(OFFSET($AM$3,0,0,'Données projet'!$E$10+1,1))-AVERAGE(OFFSET($H$3,0,0,'Données projet'!$E$10+1,1))</f>
        <v>259.91478350500478</v>
      </c>
      <c r="AO66" s="59">
        <f t="shared" si="36"/>
        <v>192.27194887051007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44.275834595481555</v>
      </c>
      <c r="AV66" s="21">
        <f>EXP(-LN(2)/25)*AV65+(1-EXP(-LN(2)/25))/(LN(2)/25)*Calculateur!AQ66*Calculateur!AS66*VLOOKUP('Données projet'!$B$10,Paramètres!$A$1:$I$89,3,0)*0.475*44/12</f>
        <v>11.389772048988181</v>
      </c>
      <c r="AW66" s="21">
        <f>EXP(-LN(2)/2)*AW65+(1-EXP(-LN(2)/2))/(LN(2)/2)*AQ66*AT66*VLOOKUP('Données projet'!$B$10,Paramètres!$A$1:$I$89,3,0)*0.475*44/12</f>
        <v>2.0453929302804776</v>
      </c>
      <c r="AX66" s="21">
        <f t="shared" si="6"/>
        <v>57.710999574750211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17.399999999999999</v>
      </c>
      <c r="BD66" s="12">
        <f>IF('Données projet'!$A$88&gt;35,BD65+BC66-BL65,IF(A66&lt;'Données projet'!$A$88,$BA$205^A66,IF(A66='Données projet'!$A$88,'Données projet'!$B$88,BD65+BC66-BL65)))</f>
        <v>520.19999999999982</v>
      </c>
      <c r="BE66" s="13">
        <f>BD66*VLOOKUP('Données projet'!$B$11,Paramètres!$A$1:$I$89,3,0)*VLOOKUP('Données projet'!$B$11,Paramètres!$A$1:$I$89,5,0)</f>
        <v>311.07959999999991</v>
      </c>
      <c r="BF66" s="13">
        <f t="shared" si="37"/>
        <v>73.49424798183118</v>
      </c>
      <c r="BG66" s="20">
        <f t="shared" si="7"/>
        <v>669.79945190168905</v>
      </c>
      <c r="BH66" s="59">
        <f t="shared" si="8"/>
        <v>963.13278523502231</v>
      </c>
      <c r="BI66" s="59">
        <f ca="1">AVERAGE(OFFSET($BH$3,0,0,'Données projet'!$E$11+1,1))-AVERAGE(OFFSET($H$3,0,0,'Données projet'!$E$11+1,1))</f>
        <v>284.60021367910457</v>
      </c>
      <c r="BJ66" s="59">
        <f t="shared" si="38"/>
        <v>301.41905904220812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65.180543810827118</v>
      </c>
      <c r="BQ66" s="21">
        <f>EXP(-LN(2)/25)*BQ65+(1-EXP(-LN(2)/25))/(LN(2)/25)*Calculateur!BL66*Calculateur!BN66*VLOOKUP('Données projet'!$B$11,Paramètres!$A$1:$I$89,3,0)*0.475*44/12</f>
        <v>14.256228965999149</v>
      </c>
      <c r="BR66" s="21">
        <f>EXP(-LN(2)/2)*BR65+(1-EXP(-LN(2)/2))/(LN(2)/2)*BL66*BO66*VLOOKUP('Données projet'!$B$11,Paramètres!$A$1:$I$89,3,0)*0.475*44/12</f>
        <v>1.3374722208913263</v>
      </c>
      <c r="BS66" s="22">
        <f t="shared" si="9"/>
        <v>80.774244997717602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</v>
      </c>
      <c r="BY66" s="12">
        <f>IF('Données projet'!$A$114&gt;35,BY65+BX66-CG65,IF(A66&lt;'Données projet'!$A$114,$BV$205^A66,IF(A66='Données projet'!$A$114,'Données projet'!$B$114,BY65+BX66-CG65)))</f>
        <v>748.99999999999966</v>
      </c>
      <c r="BZ66" s="13">
        <f>BY66*VLOOKUP('Données projet'!$B$12,Paramètres!$A$1:$I$89,3,0)*VLOOKUP('Données projet'!$B$12,Paramètres!$A$1:$I$89,5,0)</f>
        <v>418.6909999999998</v>
      </c>
      <c r="CA66" s="13">
        <f t="shared" si="39"/>
        <v>95.555848328260851</v>
      </c>
      <c r="CB66" s="20">
        <f t="shared" si="10"/>
        <v>895.64659417172061</v>
      </c>
      <c r="CC66" s="59">
        <f t="shared" si="11"/>
        <v>1188.9799275050539</v>
      </c>
      <c r="CD66" s="59">
        <f ca="1">AVERAGE(OFFSET($CC$3,0,0,'Données projet'!$E$12+1,1))-AVERAGE(OFFSET($H$3,0,0,'Données projet'!$E$12+1,1))</f>
        <v>490.96084572840579</v>
      </c>
      <c r="CE66" s="59">
        <f t="shared" si="40"/>
        <v>597.91658789908263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94.284158897245803</v>
      </c>
      <c r="CL66" s="21">
        <f>EXP(-LN(2)/25)*CL65+(1-EXP(-LN(2)/25))/(LN(2)/25)*Calculateur!CG66*Calculateur!CI66*VLOOKUP('Données projet'!$B$12,Paramètres!$A$1:$I$89,3,0)*0.475*44/12</f>
        <v>22.211557457953184</v>
      </c>
      <c r="CM66" s="21">
        <f>EXP(-LN(2)/2)*CM65+(1-EXP(-LN(2)/2))/(LN(2)/2)*CG66*CJ66*VLOOKUP('Données projet'!$B$12,Paramètres!$A$1:$I$89,3,0)*0.475*44/12</f>
        <v>1.3443662457515488</v>
      </c>
      <c r="CN66" s="22">
        <f t="shared" si="12"/>
        <v>117.84008260095054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13.333333333333334</v>
      </c>
      <c r="N67" s="13">
        <f>IF('Données projet'!$A$36&gt;35,N66+M67-V66,IF(A67&lt;'Données projet'!$A$36,$K$205^A67,IF(A67='Données projet'!$A$36,'Données projet'!$B$36,N66+M67-V66)))</f>
        <v>475.33333333333297</v>
      </c>
      <c r="O67" s="13">
        <f>N67*VLOOKUP('Données projet'!$B$9,Paramètres!$A$1:$I$89,3,0)*VLOOKUP('Données projet'!$B$9,Paramètres!$A$1:$I$89,5,0)</f>
        <v>296.60799999999978</v>
      </c>
      <c r="P67" s="13">
        <f t="shared" si="33"/>
        <v>70.464900073149323</v>
      </c>
      <c r="Q67" s="20">
        <f t="shared" ref="Q67:Q98" si="54">(O67+P67)*0.475*44/12</f>
        <v>639.31863429406792</v>
      </c>
      <c r="R67" s="59">
        <f t="shared" ref="R67:R130" si="55">Q67+(I67+J67)*44/12</f>
        <v>932.65196762740129</v>
      </c>
      <c r="S67" s="59">
        <f ca="1">AVERAGE(OFFSET($R$3,0,0,'Données projet'!$E$9+1,1))-AVERAGE(OFFSET($H$3,0,0,'Données projet'!$E$9+1,1))</f>
        <v>482.28841373508675</v>
      </c>
      <c r="T67" s="59">
        <f t="shared" si="34"/>
        <v>746.97309214631684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171.00611994826707</v>
      </c>
      <c r="AA67" s="21">
        <f>EXP(-LN(2)/25)*AA66+(1-EXP(-LN(2)/25))/(LN(2)/25)*Calculateur!V67*Calculateur!X67*VLOOKUP('Données projet'!$B$9,Paramètres!$A$1:$I$89,3,0)*0.475*44/12</f>
        <v>35.866067331152912</v>
      </c>
      <c r="AB67" s="21">
        <f>EXP(-LN(2)/2)*AB66+(1-EXP(-LN(2)/2))/(LN(2)/2)*V67*Y67*VLOOKUP('Données projet'!$B$9,Paramètres!$A$1:$I$89,3,0)*0.475*44/12</f>
        <v>3.0091532666796361</v>
      </c>
      <c r="AC67" s="22">
        <f t="shared" si="3"/>
        <v>209.88134054609964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15.5</v>
      </c>
      <c r="AI67" s="13">
        <f>IF('Données projet'!$A$62&gt;35,AI66+AH67-AQ66,IF(A67&lt;'Données projet'!$A$62,$AF$205^A67,IF(A67='Données projet'!$A$62,'Données projet'!$B$62,AI66+AH67-AQ66)))</f>
        <v>384.25663999999989</v>
      </c>
      <c r="AJ67" s="13">
        <f>AI67*VLOOKUP('Données projet'!$B$10,Paramètres!$A$1:$I$89,3,0)*VLOOKUP('Données projet'!$B$10,Paramètres!$A$1:$I$89,5,0)</f>
        <v>179.83210751999994</v>
      </c>
      <c r="AK67" s="13">
        <f t="shared" si="35"/>
        <v>45.284831154579734</v>
      </c>
      <c r="AL67" s="20">
        <f t="shared" si="4"/>
        <v>392.07866819155953</v>
      </c>
      <c r="AM67" s="59">
        <f t="shared" si="5"/>
        <v>685.41200152489284</v>
      </c>
      <c r="AN67" s="59">
        <f ca="1">AVERAGE(OFFSET($AM$3,0,0,'Données projet'!$E$10+1,1))-AVERAGE(OFFSET($H$3,0,0,'Données projet'!$E$10+1,1))</f>
        <v>259.91478350500478</v>
      </c>
      <c r="AO67" s="59">
        <f t="shared" si="36"/>
        <v>192.27194887051007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43.407612484656681</v>
      </c>
      <c r="AV67" s="21">
        <f>EXP(-LN(2)/25)*AV66+(1-EXP(-LN(2)/25))/(LN(2)/25)*Calculateur!AQ67*Calculateur!AS67*VLOOKUP('Données projet'!$B$10,Paramètres!$A$1:$I$89,3,0)*0.475*44/12</f>
        <v>11.078318133346519</v>
      </c>
      <c r="AW67" s="21">
        <f>EXP(-LN(2)/2)*AW66+(1-EXP(-LN(2)/2))/(LN(2)/2)*AQ67*AT67*VLOOKUP('Données projet'!$B$10,Paramètres!$A$1:$I$89,3,0)*0.475*44/12</f>
        <v>1.4463112111923491</v>
      </c>
      <c r="AX67" s="21">
        <f t="shared" si="6"/>
        <v>55.932241829195554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17.399999999999999</v>
      </c>
      <c r="BD67" s="12">
        <f>IF('Données projet'!$A$88&gt;35,BD66+BC67-BL66,IF(A67&lt;'Données projet'!$A$88,$BA$205^A67,IF(A67='Données projet'!$A$88,'Données projet'!$B$88,BD66+BC67-BL66)))</f>
        <v>537.5999999999998</v>
      </c>
      <c r="BE67" s="13">
        <f>BD67*VLOOKUP('Données projet'!$B$11,Paramètres!$A$1:$I$89,3,0)*VLOOKUP('Données projet'!$B$11,Paramètres!$A$1:$I$89,5,0)</f>
        <v>321.48479999999989</v>
      </c>
      <c r="BF67" s="13">
        <f t="shared" si="37"/>
        <v>75.662211893590367</v>
      </c>
      <c r="BG67" s="20">
        <f t="shared" si="7"/>
        <v>691.69771238133637</v>
      </c>
      <c r="BH67" s="59">
        <f t="shared" si="8"/>
        <v>985.03104571466974</v>
      </c>
      <c r="BI67" s="59">
        <f ca="1">AVERAGE(OFFSET($BH$3,0,0,'Données projet'!$E$11+1,1))-AVERAGE(OFFSET($H$3,0,0,'Données projet'!$E$11+1,1))</f>
        <v>284.60021367910457</v>
      </c>
      <c r="BJ67" s="59">
        <f t="shared" si="38"/>
        <v>301.41905904220812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63.90239310290292</v>
      </c>
      <c r="BQ67" s="21">
        <f>EXP(-LN(2)/25)*BQ66+(1-EXP(-LN(2)/25))/(LN(2)/25)*Calculateur!BL67*Calculateur!BN67*VLOOKUP('Données projet'!$B$11,Paramètres!$A$1:$I$89,3,0)*0.475*44/12</f>
        <v>13.866391635221404</v>
      </c>
      <c r="BR67" s="21">
        <f>EXP(-LN(2)/2)*BR66+(1-EXP(-LN(2)/2))/(LN(2)/2)*BL67*BO67*VLOOKUP('Données projet'!$B$11,Paramètres!$A$1:$I$89,3,0)*0.475*44/12</f>
        <v>0.9457356770408889</v>
      </c>
      <c r="BS67" s="22">
        <f t="shared" si="9"/>
        <v>78.714520415165211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</v>
      </c>
      <c r="BY67" s="12">
        <f>IF('Données projet'!$A$114&gt;35,BY66+BX67-CG66,IF(A67&lt;'Données projet'!$A$114,$BV$205^A67,IF(A67='Données projet'!$A$114,'Données projet'!$B$114,BY66+BX67-CG66)))</f>
        <v>758.99999999999966</v>
      </c>
      <c r="BZ67" s="13">
        <f>BY67*VLOOKUP('Données projet'!$B$12,Paramètres!$A$1:$I$89,3,0)*VLOOKUP('Données projet'!$B$12,Paramètres!$A$1:$I$89,5,0)</f>
        <v>424.28099999999978</v>
      </c>
      <c r="CA67" s="13">
        <f t="shared" si="39"/>
        <v>96.682255052757768</v>
      </c>
      <c r="CB67" s="20">
        <f t="shared" si="10"/>
        <v>907.34433588355262</v>
      </c>
      <c r="CC67" s="59">
        <f t="shared" si="11"/>
        <v>1200.677669216886</v>
      </c>
      <c r="CD67" s="59">
        <f ca="1">AVERAGE(OFFSET($CC$3,0,0,'Données projet'!$E$12+1,1))-AVERAGE(OFFSET($H$3,0,0,'Données projet'!$E$12+1,1))</f>
        <v>490.96084572840579</v>
      </c>
      <c r="CE67" s="59">
        <f t="shared" si="40"/>
        <v>597.91658789908263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92.435304048929325</v>
      </c>
      <c r="CL67" s="21">
        <f>EXP(-LN(2)/25)*CL66+(1-EXP(-LN(2)/25))/(LN(2)/25)*Calculateur!CG67*Calculateur!CI67*VLOOKUP('Données projet'!$B$12,Paramètres!$A$1:$I$89,3,0)*0.475*44/12</f>
        <v>21.604181251210413</v>
      </c>
      <c r="CM67" s="21">
        <f>EXP(-LN(2)/2)*CM66+(1-EXP(-LN(2)/2))/(LN(2)/2)*CG67*CJ67*VLOOKUP('Données projet'!$B$12,Paramètres!$A$1:$I$89,3,0)*0.475*44/12</f>
        <v>0.95061048876922083</v>
      </c>
      <c r="CN67" s="22">
        <f t="shared" si="12"/>
        <v>114.99009578890896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13.333333333333334</v>
      </c>
      <c r="N68" s="13">
        <f>IF('Données projet'!$A$36&gt;35,N67+M68-V67,IF(A68&lt;'Données projet'!$A$36,$K$205^A68,IF(A68='Données projet'!$A$36,'Données projet'!$B$36,N67+M68-V67)))</f>
        <v>488.66666666666629</v>
      </c>
      <c r="O68" s="13">
        <f>N68*VLOOKUP('Données projet'!$B$9,Paramètres!$A$1:$I$89,3,0)*VLOOKUP('Données projet'!$B$9,Paramètres!$A$1:$I$89,5,0)</f>
        <v>304.92799999999977</v>
      </c>
      <c r="P68" s="13">
        <f t="shared" si="33"/>
        <v>72.208579873050681</v>
      </c>
      <c r="Q68" s="20">
        <f t="shared" si="54"/>
        <v>656.8462099455628</v>
      </c>
      <c r="R68" s="59">
        <f t="shared" si="55"/>
        <v>950.17954327889606</v>
      </c>
      <c r="S68" s="59">
        <f ca="1">AVERAGE(OFFSET($R$3,0,0,'Données projet'!$E$9+1,1))-AVERAGE(OFFSET($H$3,0,0,'Données projet'!$E$9+1,1))</f>
        <v>482.28841373508675</v>
      </c>
      <c r="T68" s="59">
        <f t="shared" si="34"/>
        <v>746.97309214631684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167.6527942395156</v>
      </c>
      <c r="AA68" s="21">
        <f>EXP(-LN(2)/25)*AA67+(1-EXP(-LN(2)/25))/(LN(2)/25)*Calculateur!V68*Calculateur!X68*VLOOKUP('Données projet'!$B$9,Paramètres!$A$1:$I$89,3,0)*0.475*44/12</f>
        <v>34.885307833868026</v>
      </c>
      <c r="AB68" s="21">
        <f>EXP(-LN(2)/2)*AB67+(1-EXP(-LN(2)/2))/(LN(2)/2)*V68*Y68*VLOOKUP('Données projet'!$B$9,Paramètres!$A$1:$I$89,3,0)*0.475*44/12</f>
        <v>2.1277926804988221</v>
      </c>
      <c r="AC68" s="22">
        <f t="shared" ref="AC68:AC131" si="57">SUM(Z68:AB68)</f>
        <v>204.66589475388247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15.5</v>
      </c>
      <c r="AI68" s="13">
        <f>IF('Données projet'!$A$62&gt;35,AI67+AH68-AQ67,IF(A68&lt;'Données projet'!$A$62,$AF$205^A68,IF(A68='Données projet'!$A$62,'Données projet'!$B$62,AI67+AH68-AQ67)))</f>
        <v>399.75663999999989</v>
      </c>
      <c r="AJ68" s="13">
        <f>AI68*VLOOKUP('Données projet'!$B$10,Paramètres!$A$1:$I$89,3,0)*VLOOKUP('Données projet'!$B$10,Paramètres!$A$1:$I$89,5,0)</f>
        <v>187.08610751999996</v>
      </c>
      <c r="AK68" s="13">
        <f t="shared" si="35"/>
        <v>46.895154274911313</v>
      </c>
      <c r="AL68" s="20">
        <f t="shared" ref="AL68:AL131" si="58">(AJ68+AK68)*0.475*44/12</f>
        <v>407.51736429280373</v>
      </c>
      <c r="AM68" s="59">
        <f t="shared" ref="AM68:AM131" si="59">AL68+(AD68+AE68)*44/12</f>
        <v>700.85069762613705</v>
      </c>
      <c r="AN68" s="59">
        <f ca="1">AVERAGE(OFFSET($AM$3,0,0,'Données projet'!$E$10+1,1))-AVERAGE(OFFSET($H$3,0,0,'Données projet'!$E$10+1,1))</f>
        <v>259.91478350500478</v>
      </c>
      <c r="AO68" s="59">
        <f t="shared" si="36"/>
        <v>192.27194887051007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42.556415679861885</v>
      </c>
      <c r="AV68" s="21">
        <f>EXP(-LN(2)/25)*AV67+(1-EXP(-LN(2)/25))/(LN(2)/25)*Calculateur!AQ68*Calculateur!AS68*VLOOKUP('Données projet'!$B$10,Paramètres!$A$1:$I$89,3,0)*0.475*44/12</f>
        <v>10.775380941406727</v>
      </c>
      <c r="AW68" s="21">
        <f>EXP(-LN(2)/2)*AW67+(1-EXP(-LN(2)/2))/(LN(2)/2)*AQ68*AT68*VLOOKUP('Données projet'!$B$10,Paramètres!$A$1:$I$89,3,0)*0.475*44/12</f>
        <v>1.022696465140239</v>
      </c>
      <c r="AX68" s="21">
        <f t="shared" ref="AX68:AX131" si="60">SUM(AU68:AW68)</f>
        <v>54.354493086408851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555</v>
      </c>
      <c r="BB68" s="12">
        <f>VLOOKUP(A68,'Données projet'!$A$87:$I$107,9,0)</f>
        <v>17.399999999999999</v>
      </c>
      <c r="BC68" s="12">
        <f t="array" ref="BC68">INDEX(BB:BB,MIN(IF(ISNUMBER(BB68:BB264),ROW(BB68:BB264),"")))</f>
        <v>17.399999999999999</v>
      </c>
      <c r="BD68" s="12">
        <f>IF('Données projet'!$A$88&gt;35,BD67+BC68-BL67,IF(A68&lt;'Données projet'!$A$88,$BA$205^A68,IF(A68='Données projet'!$A$88,'Données projet'!$B$88,BD67+BC68-BL67)))</f>
        <v>554.99999999999977</v>
      </c>
      <c r="BE68" s="13">
        <f>BD68*VLOOKUP('Données projet'!$B$11,Paramètres!$A$1:$I$89,3,0)*VLOOKUP('Données projet'!$B$11,Paramètres!$A$1:$I$89,5,0)</f>
        <v>331.88999999999987</v>
      </c>
      <c r="BF68" s="13">
        <f t="shared" si="37"/>
        <v>77.822022056956186</v>
      </c>
      <c r="BG68" s="20">
        <f t="shared" ref="BG68:BG131" si="61">(BE68+BF68)*0.475*44/12</f>
        <v>713.58177174919854</v>
      </c>
      <c r="BH68" s="59">
        <f t="shared" ref="BH68:BH131" si="62">BG68+(AY68+AZ68)*44/12</f>
        <v>1006.9151050825319</v>
      </c>
      <c r="BI68" s="59">
        <f ca="1">AVERAGE(OFFSET($BH$3,0,0,'Données projet'!$E$11+1,1))-AVERAGE(OFFSET($H$3,0,0,'Données projet'!$E$11+1,1))</f>
        <v>284.60021367910457</v>
      </c>
      <c r="BJ68" s="59">
        <f t="shared" si="38"/>
        <v>301.41905904220812</v>
      </c>
      <c r="BK68" s="15" t="str">
        <f>IF(ISNA(VLOOKUP(A68,'Données projet'!$A$87:$I$107,3,0)),0,VLOOKUP(A68,'Données projet'!$A$87:$I$107,3,0))</f>
        <v>CR</v>
      </c>
      <c r="BL68" s="15">
        <f>IF(ISNA(VLOOKUP(A68,'Données projet'!$A$87:$I$107,4,0)),0,VLOOKUP(A68,'Données projet'!$A$87:$I$107,4,0))</f>
        <v>555</v>
      </c>
      <c r="BM68" s="16">
        <f>IF(ISNA(VLOOKUP(A68,'Données projet'!$A$87:$I$107,5,0)),0%,VLOOKUP(A68,'Données projet'!$A$87:$I$107,5,0)*VLOOKUP('Données projet'!$B$11,Paramètres!$A$1:$I$89,7,0))</f>
        <v>0.315</v>
      </c>
      <c r="BN68" s="16">
        <f>IF(ISNA(VLOOKUP(A68,'Données projet'!$A$87:$I$107,6,0)),0%,VLOOKUP(A68,'Données projet'!$A$87:$I$107,6,0)*VLOOKUP('Données projet'!$B$11,Paramètres!$A$1:$I$89,7,0))</f>
        <v>7.5600000000000001E-2</v>
      </c>
      <c r="BO68" s="16">
        <f>IF(ISNA(VLOOKUP(A68,'Données projet'!$A$87:$I$107,7,0)),0%,VLOOKUP(A68,'Données projet'!$A$87:$I$107,7,0))</f>
        <v>0.13200000000000001</v>
      </c>
      <c r="BP68" s="21">
        <f>EXP(-LN(2)/35)*BP67+(1-EXP(-LN(2)/35))/(LN(2)/35)*BL68*BM68*VLOOKUP('Données projet'!$B$11,Paramètres!$A$1:$I$89,3,0)*0.475*44/12</f>
        <v>201.33545144225226</v>
      </c>
      <c r="BQ68" s="21">
        <f>EXP(-LN(2)/25)*BQ67+(1-EXP(-LN(2)/25))/(LN(2)/25)*Calculateur!BL68*Calculateur!BN68*VLOOKUP('Données projet'!$B$11,Paramètres!$A$1:$I$89,3,0)*0.475*44/12</f>
        <v>46.640834849292659</v>
      </c>
      <c r="BR68" s="21">
        <f>EXP(-LN(2)/2)*BR67+(1-EXP(-LN(2)/2))/(LN(2)/2)*BL68*BO68*VLOOKUP('Données projet'!$B$11,Paramètres!$A$1:$I$89,3,0)*0.475*44/12</f>
        <v>50.271244304285425</v>
      </c>
      <c r="BS68" s="22">
        <f t="shared" ref="BS68:BS131" si="63">SUM(BP68:BR68)</f>
        <v>298.24753059583031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769</v>
      </c>
      <c r="BW68" s="12">
        <f>VLOOKUP(A68,'Données projet'!$A$113:$I$133,9,0)</f>
        <v>10</v>
      </c>
      <c r="BX68" s="12">
        <f t="array" ref="BX68">INDEX(BW:BW,MIN(IF(ISNUMBER(BW68:BW264),ROW(BW68:BW264),"")))</f>
        <v>10</v>
      </c>
      <c r="BY68" s="12">
        <f>IF('Données projet'!$A$114&gt;35,BY67+BX68-CG67,IF(A68&lt;'Données projet'!$A$114,$BV$205^A68,IF(A68='Données projet'!$A$114,'Données projet'!$B$114,BY67+BX68-CG67)))</f>
        <v>768.99999999999966</v>
      </c>
      <c r="BZ68" s="13">
        <f>BY68*VLOOKUP('Données projet'!$B$12,Paramètres!$A$1:$I$89,3,0)*VLOOKUP('Données projet'!$B$12,Paramètres!$A$1:$I$89,5,0)</f>
        <v>429.87099999999981</v>
      </c>
      <c r="CA68" s="13">
        <f t="shared" si="39"/>
        <v>97.806935594587088</v>
      </c>
      <c r="CB68" s="20">
        <f t="shared" ref="CB68:CB131" si="64">(BZ68+CA68)*0.475*44/12</f>
        <v>919.03907116057201</v>
      </c>
      <c r="CC68" s="59">
        <f t="shared" ref="CC68:CC131" si="65">CB68+(BT68+BU68)*44/12</f>
        <v>1212.3724044939054</v>
      </c>
      <c r="CD68" s="59">
        <f ca="1">AVERAGE(OFFSET($CC$3,0,0,'Données projet'!$E$12+1,1))-AVERAGE(OFFSET($H$3,0,0,'Données projet'!$E$12+1,1))</f>
        <v>490.96084572840579</v>
      </c>
      <c r="CE68" s="59">
        <f t="shared" si="40"/>
        <v>597.91658789908263</v>
      </c>
      <c r="CF68" s="15" t="str">
        <f>IF(ISNA(VLOOKUP(A68,'Données projet'!$A$113:$I$133,3,0)),0,VLOOKUP(A68,'Données projet'!$A$113:$I$133,3,0))</f>
        <v>CR</v>
      </c>
      <c r="CG68" s="15">
        <f>IF(ISNA(VLOOKUP(A68,'Données projet'!$A$113:$I$133,4,0)),0,VLOOKUP(A68,'Données projet'!$A$113:$I$133,4,0))</f>
        <v>769</v>
      </c>
      <c r="CH68" s="16">
        <f>IF(ISNA(VLOOKUP(A68,'Données projet'!$A$113:$I$133,5,0)),0%,VLOOKUP(A68,'Données projet'!$A$113:$I$133,5,0)*VLOOKUP('Données projet'!$B$12,Paramètres!$A$1:$I$89,7,0))</f>
        <v>0.38500000000000001</v>
      </c>
      <c r="CI68" s="16">
        <f>IF(ISNA(VLOOKUP(A68,'Données projet'!$A$113:$I$133,6,0)),0%,VLOOKUP(A68,'Données projet'!$A$113:$I$133,6,0)*VLOOKUP('Données projet'!$B$12,Paramètres!$A$1:$I$89,7,0))</f>
        <v>9.240000000000001E-2</v>
      </c>
      <c r="CJ68" s="16">
        <f>IF(ISNA(VLOOKUP(A68,'Données projet'!$A$113:$I$133,7,0)),0%,VLOOKUP(A68,'Données projet'!$A$113:$I$133,7,0))</f>
        <v>0.13200000000000001</v>
      </c>
      <c r="CK68" s="21">
        <f>EXP(-LN(2)/35)*CK67+(1-EXP(-LN(2)/35))/(LN(2)/35)*CG68*CH68*VLOOKUP('Données projet'!$B$12,Paramètres!$A$1:$I$89,3,0)*0.475*44/12</f>
        <v>310.16956589083469</v>
      </c>
      <c r="CL68" s="21">
        <f>EXP(-LN(2)/25)*CL67+(1-EXP(-LN(2)/25))/(LN(2)/25)*Calculateur!CG68*Calculateur!CI68*VLOOKUP('Données projet'!$B$12,Paramètres!$A$1:$I$89,3,0)*0.475*44/12</f>
        <v>73.497195088929914</v>
      </c>
      <c r="CM68" s="21">
        <f>EXP(-LN(2)/2)*CM67+(1-EXP(-LN(2)/2))/(LN(2)/2)*CG68*CJ68*VLOOKUP('Données projet'!$B$12,Paramètres!$A$1:$I$89,3,0)*0.475*44/12</f>
        <v>64.918408678915696</v>
      </c>
      <c r="CN68" s="22">
        <f t="shared" ref="CN68:CN131" si="66">SUM(CK68:CM68)</f>
        <v>448.58516965868029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502</v>
      </c>
      <c r="L69" s="12">
        <f>VLOOKUP(A69,'Données projet'!$A$35:$I$55,9,0)</f>
        <v>13.333333333333334</v>
      </c>
      <c r="M69" s="12">
        <f t="array" ref="M69">INDEX(L:L,MIN(IF(ISNUMBER(L69:L265),ROW(L69:L265),"")))</f>
        <v>13.333333333333334</v>
      </c>
      <c r="N69" s="13">
        <f>IF('Données projet'!$A$36&gt;35,N68+M69-V68,IF(A69&lt;'Données projet'!$A$36,$K$205^A69,IF(A69='Données projet'!$A$36,'Données projet'!$B$36,N68+M69-V68)))</f>
        <v>501.9999999999996</v>
      </c>
      <c r="O69" s="13">
        <f>N69*VLOOKUP('Données projet'!$B$9,Paramètres!$A$1:$I$89,3,0)*VLOOKUP('Données projet'!$B$9,Paramètres!$A$1:$I$89,5,0)</f>
        <v>313.24799999999976</v>
      </c>
      <c r="P69" s="13">
        <f t="shared" ref="P69:P132" si="87">EXP(-1.0587+0.8836*LN(O69)+0.284)</f>
        <v>73.946729824749326</v>
      </c>
      <c r="Q69" s="20">
        <f t="shared" si="54"/>
        <v>674.36415444477132</v>
      </c>
      <c r="R69" s="59">
        <f t="shared" si="55"/>
        <v>967.69748777810469</v>
      </c>
      <c r="S69" s="59">
        <f ca="1">AVERAGE(OFFSET($R$3,0,0,'Données projet'!$E$9+1,1))-AVERAGE(OFFSET($H$3,0,0,'Données projet'!$E$9+1,1))</f>
        <v>482.28841373508675</v>
      </c>
      <c r="T69" s="59">
        <f t="shared" ref="T69:T132" si="88">$T$3</f>
        <v>746.97309214631684</v>
      </c>
      <c r="U69" s="15">
        <f>IF(ISNA(VLOOKUP(A69,'Données projet'!$A$35:$I$55,3,0)),0,VLOOKUP(A69,'Données projet'!$A$35:$I$55,3,0))</f>
        <v>7</v>
      </c>
      <c r="V69" s="15">
        <f>IF(ISNA(VLOOKUP(A69,'Données projet'!$A$35:$I$55,4,0)),0,VLOOKUP(A69,'Données projet'!$A$35:$I$55,4,0))</f>
        <v>109</v>
      </c>
      <c r="W69" s="16">
        <f>IF(ISNA(VLOOKUP(A69,'Données projet'!$A$35:$I$55,5,0)),0%,VLOOKUP(A69,'Données projet'!$A$35:$I$55,5,0)*VLOOKUP('Données projet'!$B$9,Paramètres!$A$1:$I$89,7,0))</f>
        <v>0.42</v>
      </c>
      <c r="X69" s="16">
        <f>IF(ISNA(VLOOKUP(A69,'Données projet'!$A$35:$I$55,6,0)),0%,VLOOKUP(A69,'Données projet'!$A$35:$I$55,6,0)*VLOOKUP('Données projet'!$B$9,Paramètres!$A$1:$I$89,7,0))</f>
        <v>0.1008</v>
      </c>
      <c r="Y69" s="16">
        <f>IF(ISNA(VLOOKUP(A69,'Données projet'!$A$35:$I$55,7,0)),0%,VLOOKUP(A69,'Données projet'!$A$35:$I$55,7,0))</f>
        <v>0.13200000000000001</v>
      </c>
      <c r="Z69" s="21">
        <f>EXP(-LN(2)/35)*Z68+(1-EXP(-LN(2)/35))/(LN(2)/35)*V69*W69*VLOOKUP('Données projet'!$B$9,Paramètres!$A$1:$I$89,3,0)*0.475*44/12</f>
        <v>202.26082056307985</v>
      </c>
      <c r="AA69" s="21">
        <f>EXP(-LN(2)/25)*AA68+(1-EXP(-LN(2)/25))/(LN(2)/25)*Calculateur!V69*Calculateur!X69*VLOOKUP('Données projet'!$B$9,Paramètres!$A$1:$I$89,3,0)*0.475*44/12</f>
        <v>42.990499887541667</v>
      </c>
      <c r="AB69" s="21">
        <f>EXP(-LN(2)/2)*AB68+(1-EXP(-LN(2)/2))/(LN(2)/2)*V69*Y69*VLOOKUP('Données projet'!$B$9,Paramètres!$A$1:$I$89,3,0)*0.475*44/12</f>
        <v>11.669885010549752</v>
      </c>
      <c r="AC69" s="22">
        <f t="shared" si="57"/>
        <v>256.92120546117127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15.5</v>
      </c>
      <c r="AI69" s="13">
        <f>IF('Données projet'!$A$62&gt;35,AI68+AH69-AQ68,IF(A69&lt;'Données projet'!$A$62,$AF$205^A69,IF(A69='Données projet'!$A$62,'Données projet'!$B$62,AI68+AH69-AQ68)))</f>
        <v>415.25663999999989</v>
      </c>
      <c r="AJ69" s="13">
        <f>AI69*VLOOKUP('Données projet'!$B$10,Paramètres!$A$1:$I$89,3,0)*VLOOKUP('Données projet'!$B$10,Paramètres!$A$1:$I$89,5,0)</f>
        <v>194.34010751999995</v>
      </c>
      <c r="AK69" s="13">
        <f t="shared" ref="AK69:AK132" si="89">EXP(-1.0587+0.8836*LN(AJ69)+0.284)</f>
        <v>48.498224067522372</v>
      </c>
      <c r="AL69" s="20">
        <f t="shared" si="58"/>
        <v>422.94342751493468</v>
      </c>
      <c r="AM69" s="59">
        <f t="shared" si="59"/>
        <v>716.27676084826794</v>
      </c>
      <c r="AN69" s="59">
        <f ca="1">AVERAGE(OFFSET($AM$3,0,0,'Données projet'!$E$10+1,1))-AVERAGE(OFFSET($H$3,0,0,'Données projet'!$E$10+1,1))</f>
        <v>259.91478350500478</v>
      </c>
      <c r="AO69" s="59">
        <f t="shared" ref="AO69:AO132" si="90">$AO$3</f>
        <v>192.27194887051007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41.721910325230333</v>
      </c>
      <c r="AV69" s="21">
        <f>EXP(-LN(2)/25)*AV68+(1-EXP(-LN(2)/25))/(LN(2)/25)*Calculateur!AQ69*Calculateur!AS69*VLOOKUP('Données projet'!$B$10,Paramètres!$A$1:$I$89,3,0)*0.475*44/12</f>
        <v>10.480727582911303</v>
      </c>
      <c r="AW69" s="21">
        <f>EXP(-LN(2)/2)*AW68+(1-EXP(-LN(2)/2))/(LN(2)/2)*AQ69*AT69*VLOOKUP('Données projet'!$B$10,Paramètres!$A$1:$I$89,3,0)*0.475*44/12</f>
        <v>0.72315560559617464</v>
      </c>
      <c r="AX69" s="21">
        <f t="shared" si="60"/>
        <v>52.925793513737815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-2.2737367544323206E-13</v>
      </c>
      <c r="BE69" s="13">
        <f>BD69*VLOOKUP('Données projet'!$B$11,Paramètres!$A$1:$I$89,3,0)*VLOOKUP('Données projet'!$B$11,Paramètres!$A$1:$I$89,5,0)</f>
        <v>-1.3596945791505279E-13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284.60021367910457</v>
      </c>
      <c r="BJ69" s="59">
        <f t="shared" ref="BJ69:BJ132" si="92">$BJ$3</f>
        <v>301.41905904220812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197.38738604196934</v>
      </c>
      <c r="BQ69" s="21">
        <f>EXP(-LN(2)/25)*BQ68+(1-EXP(-LN(2)/25))/(LN(2)/25)*Calculateur!BL69*Calculateur!BN69*VLOOKUP('Données projet'!$B$11,Paramètres!$A$1:$I$89,3,0)*0.475*44/12</f>
        <v>45.365438767603848</v>
      </c>
      <c r="BR69" s="21">
        <f>EXP(-LN(2)/2)*BR68+(1-EXP(-LN(2)/2))/(LN(2)/2)*BL69*BO69*VLOOKUP('Données projet'!$B$11,Paramètres!$A$1:$I$89,3,0)*0.475*44/12</f>
        <v>35.547137746245831</v>
      </c>
      <c r="BS69" s="22">
        <f t="shared" si="63"/>
        <v>278.29996255581904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-3.4106051316484809E-13</v>
      </c>
      <c r="BZ69" s="13">
        <f>BY69*VLOOKUP('Données projet'!$B$12,Paramètres!$A$1:$I$89,3,0)*VLOOKUP('Données projet'!$B$12,Paramètres!$A$1:$I$89,5,0)</f>
        <v>-1.9065282685915009E-13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490.96084572840579</v>
      </c>
      <c r="CE69" s="59">
        <f t="shared" ref="CE69:CE132" si="94">$CE$3</f>
        <v>597.91658789908263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304.08732988847015</v>
      </c>
      <c r="CL69" s="21">
        <f>EXP(-LN(2)/25)*CL68+(1-EXP(-LN(2)/25))/(LN(2)/25)*Calculateur!CG69*Calculateur!CI69*VLOOKUP('Données projet'!$B$12,Paramètres!$A$1:$I$89,3,0)*0.475*44/12</f>
        <v>71.487410424173618</v>
      </c>
      <c r="CM69" s="21">
        <f>EXP(-LN(2)/2)*CM68+(1-EXP(-LN(2)/2))/(LN(2)/2)*CG69*CJ69*VLOOKUP('Données projet'!$B$12,Paramètres!$A$1:$I$89,3,0)*0.475*44/12</f>
        <v>45.904247000700913</v>
      </c>
      <c r="CN69" s="22">
        <f t="shared" si="66"/>
        <v>421.4789873133447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11.666666666666666</v>
      </c>
      <c r="N70" s="13">
        <f>IF('Données projet'!$A$36&gt;35,N69+M70-V69,IF(A70&lt;'Données projet'!$A$36,$K$205^A70,IF(A70='Données projet'!$A$36,'Données projet'!$B$36,N69+M70-V69)))</f>
        <v>404.66666666666629</v>
      </c>
      <c r="O70" s="13">
        <f>N70*VLOOKUP('Données projet'!$B$9,Paramètres!$A$1:$I$89,3,0)*VLOOKUP('Données projet'!$B$9,Paramètres!$A$1:$I$89,5,0)</f>
        <v>252.51199999999977</v>
      </c>
      <c r="P70" s="13">
        <f t="shared" si="87"/>
        <v>61.123534450545591</v>
      </c>
      <c r="Q70" s="20">
        <f t="shared" si="54"/>
        <v>546.24855583469991</v>
      </c>
      <c r="R70" s="59">
        <f t="shared" si="55"/>
        <v>839.58188916803329</v>
      </c>
      <c r="S70" s="59">
        <f ca="1">AVERAGE(OFFSET($R$3,0,0,'Données projet'!$E$9+1,1))-AVERAGE(OFFSET($H$3,0,0,'Données projet'!$E$9+1,1))</f>
        <v>482.28841373508675</v>
      </c>
      <c r="T70" s="59">
        <f t="shared" si="88"/>
        <v>746.97309214631684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198.29460923875692</v>
      </c>
      <c r="AA70" s="21">
        <f>EXP(-LN(2)/25)*AA69+(1-EXP(-LN(2)/25))/(LN(2)/25)*Calculateur!V70*Calculateur!X70*VLOOKUP('Données projet'!$B$9,Paramètres!$A$1:$I$89,3,0)*0.475*44/12</f>
        <v>41.81492240734471</v>
      </c>
      <c r="AB70" s="21">
        <f>EXP(-LN(2)/2)*AB69+(1-EXP(-LN(2)/2))/(LN(2)/2)*V70*Y70*VLOOKUP('Données projet'!$B$9,Paramètres!$A$1:$I$89,3,0)*0.475*44/12</f>
        <v>8.2518548266269747</v>
      </c>
      <c r="AC70" s="22">
        <f t="shared" si="57"/>
        <v>248.36138647272861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15.5</v>
      </c>
      <c r="AI70" s="13">
        <f>IF('Données projet'!$A$62&gt;35,AI69+AH70-AQ69,IF(A70&lt;'Données projet'!$A$62,$AF$205^A70,IF(A70='Données projet'!$A$62,'Données projet'!$B$62,AI69+AH70-AQ69)))</f>
        <v>430.75663999999989</v>
      </c>
      <c r="AJ70" s="13">
        <f>AI70*VLOOKUP('Données projet'!$B$10,Paramètres!$A$1:$I$89,3,0)*VLOOKUP('Données projet'!$B$10,Paramètres!$A$1:$I$89,5,0)</f>
        <v>201.59410751999997</v>
      </c>
      <c r="AK70" s="13">
        <f t="shared" si="89"/>
        <v>50.09434227347294</v>
      </c>
      <c r="AL70" s="20">
        <f t="shared" si="58"/>
        <v>438.35738339029859</v>
      </c>
      <c r="AM70" s="59">
        <f t="shared" si="59"/>
        <v>731.69071672363191</v>
      </c>
      <c r="AN70" s="59">
        <f ca="1">AVERAGE(OFFSET($AM$3,0,0,'Données projet'!$E$10+1,1))-AVERAGE(OFFSET($H$3,0,0,'Données projet'!$E$10+1,1))</f>
        <v>259.91478350500478</v>
      </c>
      <c r="AO70" s="59">
        <f t="shared" si="90"/>
        <v>192.27194887051007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40.903769111605101</v>
      </c>
      <c r="AV70" s="21">
        <f>EXP(-LN(2)/25)*AV69+(1-EXP(-LN(2)/25))/(LN(2)/25)*Calculateur!AQ70*Calculateur!AS70*VLOOKUP('Données projet'!$B$10,Paramètres!$A$1:$I$89,3,0)*0.475*44/12</f>
        <v>10.194131535999084</v>
      </c>
      <c r="AW70" s="21">
        <f>EXP(-LN(2)/2)*AW69+(1-EXP(-LN(2)/2))/(LN(2)/2)*AQ70*AT70*VLOOKUP('Données projet'!$B$10,Paramètres!$A$1:$I$89,3,0)*0.475*44/12</f>
        <v>0.51134823257011952</v>
      </c>
      <c r="AX70" s="21">
        <f t="shared" si="60"/>
        <v>51.609248880174306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-2.2737367544323206E-13</v>
      </c>
      <c r="BE70" s="13">
        <f>BD70*VLOOKUP('Données projet'!$B$11,Paramètres!$A$1:$I$89,3,0)*VLOOKUP('Données projet'!$B$11,Paramètres!$A$1:$I$89,5,0)</f>
        <v>-1.3596945791505279E-13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284.60021367910457</v>
      </c>
      <c r="BJ70" s="59">
        <f t="shared" si="92"/>
        <v>301.41905904220812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193.51673979610385</v>
      </c>
      <c r="BQ70" s="21">
        <f>EXP(-LN(2)/25)*BQ69+(1-EXP(-LN(2)/25))/(LN(2)/25)*Calculateur!BL70*Calculateur!BN70*VLOOKUP('Données projet'!$B$11,Paramètres!$A$1:$I$89,3,0)*0.475*44/12</f>
        <v>44.124918458838984</v>
      </c>
      <c r="BR70" s="21">
        <f>EXP(-LN(2)/2)*BR69+(1-EXP(-LN(2)/2))/(LN(2)/2)*BL70*BO70*VLOOKUP('Données projet'!$B$11,Paramètres!$A$1:$I$89,3,0)*0.475*44/12</f>
        <v>25.135622152142716</v>
      </c>
      <c r="BS70" s="22">
        <f t="shared" si="63"/>
        <v>262.77728040708553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-3.4106051316484809E-13</v>
      </c>
      <c r="BZ70" s="13">
        <f>BY70*VLOOKUP('Données projet'!$B$12,Paramètres!$A$1:$I$89,3,0)*VLOOKUP('Données projet'!$B$12,Paramètres!$A$1:$I$89,5,0)</f>
        <v>-1.9065282685915009E-13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490.96084572840579</v>
      </c>
      <c r="CE70" s="59">
        <f t="shared" si="94"/>
        <v>597.91658789908263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298.12436282431435</v>
      </c>
      <c r="CL70" s="21">
        <f>EXP(-LN(2)/25)*CL69+(1-EXP(-LN(2)/25))/(LN(2)/25)*Calculateur!CG70*Calculateur!CI70*VLOOKUP('Données projet'!$B$12,Paramètres!$A$1:$I$89,3,0)*0.475*44/12</f>
        <v>69.532583426765058</v>
      </c>
      <c r="CM70" s="21">
        <f>EXP(-LN(2)/2)*CM69+(1-EXP(-LN(2)/2))/(LN(2)/2)*CG70*CJ70*VLOOKUP('Données projet'!$B$12,Paramètres!$A$1:$I$89,3,0)*0.475*44/12</f>
        <v>32.459204339457855</v>
      </c>
      <c r="CN70" s="22">
        <f t="shared" si="66"/>
        <v>400.11615059053725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11.666666666666666</v>
      </c>
      <c r="N71" s="13">
        <f>IF('Données projet'!$A$36&gt;35,N70+M71-V70,IF(A71&lt;'Données projet'!$A$36,$K$205^A71,IF(A71='Données projet'!$A$36,'Données projet'!$B$36,N70+M71-V70)))</f>
        <v>416.33333333333297</v>
      </c>
      <c r="O71" s="13">
        <f>N71*VLOOKUP('Données projet'!$B$9,Paramètres!$A$1:$I$89,3,0)*VLOOKUP('Données projet'!$B$9,Paramètres!$A$1:$I$89,5,0)</f>
        <v>259.7919999999998</v>
      </c>
      <c r="P71" s="13">
        <f t="shared" si="87"/>
        <v>62.678038696678357</v>
      </c>
      <c r="Q71" s="20">
        <f t="shared" si="54"/>
        <v>561.63531739671441</v>
      </c>
      <c r="R71" s="59">
        <f t="shared" si="55"/>
        <v>854.96865073004778</v>
      </c>
      <c r="S71" s="59">
        <f ca="1">AVERAGE(OFFSET($R$3,0,0,'Données projet'!$E$9+1,1))-AVERAGE(OFFSET($H$3,0,0,'Données projet'!$E$9+1,1))</f>
        <v>482.28841373508675</v>
      </c>
      <c r="T71" s="59">
        <f t="shared" si="88"/>
        <v>746.97309214631684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194.40617289935392</v>
      </c>
      <c r="AA71" s="21">
        <f>EXP(-LN(2)/25)*AA70+(1-EXP(-LN(2)/25))/(LN(2)/25)*Calculateur!V71*Calculateur!X71*VLOOKUP('Données projet'!$B$9,Paramètres!$A$1:$I$89,3,0)*0.475*44/12</f>
        <v>40.671491155164667</v>
      </c>
      <c r="AB71" s="21">
        <f>EXP(-LN(2)/2)*AB70+(1-EXP(-LN(2)/2))/(LN(2)/2)*V71*Y71*VLOOKUP('Données projet'!$B$9,Paramètres!$A$1:$I$89,3,0)*0.475*44/12</f>
        <v>5.8349425052748769</v>
      </c>
      <c r="AC71" s="22">
        <f t="shared" si="57"/>
        <v>240.91260655979346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15.5</v>
      </c>
      <c r="AI71" s="13">
        <f>IF('Données projet'!$A$62&gt;35,AI70+AH71-AQ70,IF(A71&lt;'Données projet'!$A$62,$AF$205^A71,IF(A71='Données projet'!$A$62,'Données projet'!$B$62,AI70+AH71-AQ70)))</f>
        <v>446.25663999999989</v>
      </c>
      <c r="AJ71" s="13">
        <f>AI71*VLOOKUP('Données projet'!$B$10,Paramètres!$A$1:$I$89,3,0)*VLOOKUP('Données projet'!$B$10,Paramètres!$A$1:$I$89,5,0)</f>
        <v>208.84810751999993</v>
      </c>
      <c r="AK71" s="13">
        <f t="shared" si="89"/>
        <v>51.683787687739837</v>
      </c>
      <c r="AL71" s="20">
        <f t="shared" si="58"/>
        <v>453.75971748681332</v>
      </c>
      <c r="AM71" s="59">
        <f t="shared" si="59"/>
        <v>747.09305082014657</v>
      </c>
      <c r="AN71" s="59">
        <f ca="1">AVERAGE(OFFSET($AM$3,0,0,'Données projet'!$E$10+1,1))-AVERAGE(OFFSET($H$3,0,0,'Données projet'!$E$10+1,1))</f>
        <v>259.91478350500478</v>
      </c>
      <c r="AO71" s="59">
        <f t="shared" si="90"/>
        <v>192.27194887051007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40.10167114816219</v>
      </c>
      <c r="AV71" s="21">
        <f>EXP(-LN(2)/25)*AV70+(1-EXP(-LN(2)/25))/(LN(2)/25)*Calculateur!AQ71*Calculateur!AS71*VLOOKUP('Données projet'!$B$10,Paramètres!$A$1:$I$89,3,0)*0.475*44/12</f>
        <v>9.9153724730611099</v>
      </c>
      <c r="AW71" s="21">
        <f>EXP(-LN(2)/2)*AW70+(1-EXP(-LN(2)/2))/(LN(2)/2)*AQ71*AT71*VLOOKUP('Données projet'!$B$10,Paramètres!$A$1:$I$89,3,0)*0.475*44/12</f>
        <v>0.36157780279808732</v>
      </c>
      <c r="AX71" s="21">
        <f t="shared" si="60"/>
        <v>50.378621424021389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-2.2737367544323206E-13</v>
      </c>
      <c r="BE71" s="13">
        <f>BD71*VLOOKUP('Données projet'!$B$11,Paramètres!$A$1:$I$89,3,0)*VLOOKUP('Données projet'!$B$11,Paramètres!$A$1:$I$89,5,0)</f>
        <v>-1.3596945791505279E-13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284.60021367910457</v>
      </c>
      <c r="BJ71" s="59">
        <f t="shared" si="92"/>
        <v>301.41905904220812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189.72199456225869</v>
      </c>
      <c r="BQ71" s="21">
        <f>EXP(-LN(2)/25)*BQ70+(1-EXP(-LN(2)/25))/(LN(2)/25)*Calculateur!BL71*Calculateur!BN71*VLOOKUP('Données projet'!$B$11,Paramètres!$A$1:$I$89,3,0)*0.475*44/12</f>
        <v>42.918320243153417</v>
      </c>
      <c r="BR71" s="21">
        <f>EXP(-LN(2)/2)*BR70+(1-EXP(-LN(2)/2))/(LN(2)/2)*BL71*BO71*VLOOKUP('Données projet'!$B$11,Paramètres!$A$1:$I$89,3,0)*0.475*44/12</f>
        <v>17.773568873122919</v>
      </c>
      <c r="BS71" s="22">
        <f t="shared" si="63"/>
        <v>250.41388367853503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-3.4106051316484809E-13</v>
      </c>
      <c r="BZ71" s="13">
        <f>BY71*VLOOKUP('Données projet'!$B$12,Paramètres!$A$1:$I$89,3,0)*VLOOKUP('Données projet'!$B$12,Paramètres!$A$1:$I$89,5,0)</f>
        <v>-1.9065282685915009E-13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490.96084572840579</v>
      </c>
      <c r="CE71" s="59">
        <f t="shared" si="94"/>
        <v>597.91658789908263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292.27832590723585</v>
      </c>
      <c r="CL71" s="21">
        <f>EXP(-LN(2)/25)*CL70+(1-EXP(-LN(2)/25))/(LN(2)/25)*Calculateur!CG71*Calculateur!CI71*VLOOKUP('Données projet'!$B$12,Paramètres!$A$1:$I$89,3,0)*0.475*44/12</f>
        <v>67.631211276400521</v>
      </c>
      <c r="CM71" s="21">
        <f>EXP(-LN(2)/2)*CM70+(1-EXP(-LN(2)/2))/(LN(2)/2)*CG71*CJ71*VLOOKUP('Données projet'!$B$12,Paramètres!$A$1:$I$89,3,0)*0.475*44/12</f>
        <v>22.95212350035046</v>
      </c>
      <c r="CN71" s="22">
        <f t="shared" si="66"/>
        <v>382.86166068398683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11.666666666666666</v>
      </c>
      <c r="N72" s="13">
        <f>IF('Données projet'!$A$36&gt;35,N71+M72-V71,IF(A72&lt;'Données projet'!$A$36,$K$205^A72,IF(A72='Données projet'!$A$36,'Données projet'!$B$36,N71+M72-V71)))</f>
        <v>427.99999999999966</v>
      </c>
      <c r="O72" s="13">
        <f>N72*VLOOKUP('Données projet'!$B$9,Paramètres!$A$1:$I$89,3,0)*VLOOKUP('Données projet'!$B$9,Paramètres!$A$1:$I$89,5,0)</f>
        <v>267.07199999999978</v>
      </c>
      <c r="P72" s="13">
        <f t="shared" si="87"/>
        <v>64.227480006516515</v>
      </c>
      <c r="Q72" s="20">
        <f t="shared" si="54"/>
        <v>577.01326101134919</v>
      </c>
      <c r="R72" s="59">
        <f t="shared" si="55"/>
        <v>870.34659434468244</v>
      </c>
      <c r="S72" s="59">
        <f ca="1">AVERAGE(OFFSET($R$3,0,0,'Données projet'!$E$9+1,1))-AVERAGE(OFFSET($H$3,0,0,'Données projet'!$E$9+1,1))</f>
        <v>482.28841373508675</v>
      </c>
      <c r="T72" s="59">
        <f t="shared" si="88"/>
        <v>746.97309214631684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190.59398642485465</v>
      </c>
      <c r="AA72" s="21">
        <f>EXP(-LN(2)/25)*AA71+(1-EXP(-LN(2)/25))/(LN(2)/25)*Calculateur!V72*Calculateur!X72*VLOOKUP('Données projet'!$B$9,Paramètres!$A$1:$I$89,3,0)*0.475*44/12</f>
        <v>39.559327090705928</v>
      </c>
      <c r="AB72" s="21">
        <f>EXP(-LN(2)/2)*AB71+(1-EXP(-LN(2)/2))/(LN(2)/2)*V72*Y72*VLOOKUP('Données projet'!$B$9,Paramètres!$A$1:$I$89,3,0)*0.475*44/12</f>
        <v>4.1259274133134882</v>
      </c>
      <c r="AC72" s="22">
        <f t="shared" si="57"/>
        <v>234.27924092887406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15.5</v>
      </c>
      <c r="AI72" s="13">
        <f>IF('Données projet'!$A$62&gt;35,AI71+AH72-AQ71,IF(A72&lt;'Données projet'!$A$62,$AF$205^A72,IF(A72='Données projet'!$A$62,'Données projet'!$B$62,AI71+AH72-AQ71)))</f>
        <v>461.75663999999989</v>
      </c>
      <c r="AJ72" s="13">
        <f>AI72*VLOOKUP('Données projet'!$B$10,Paramètres!$A$1:$I$89,3,0)*VLOOKUP('Données projet'!$B$10,Paramètres!$A$1:$I$89,5,0)</f>
        <v>216.10210751999995</v>
      </c>
      <c r="AK72" s="13">
        <f t="shared" si="89"/>
        <v>53.266818640001055</v>
      </c>
      <c r="AL72" s="20">
        <f t="shared" si="58"/>
        <v>469.15087972866837</v>
      </c>
      <c r="AM72" s="59">
        <f t="shared" si="59"/>
        <v>762.48421306200169</v>
      </c>
      <c r="AN72" s="59">
        <f ca="1">AVERAGE(OFFSET($AM$3,0,0,'Données projet'!$E$10+1,1))-AVERAGE(OFFSET($H$3,0,0,'Données projet'!$E$10+1,1))</f>
        <v>259.91478350500478</v>
      </c>
      <c r="AO72" s="59">
        <f t="shared" si="90"/>
        <v>192.27194887051007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39.315301836550944</v>
      </c>
      <c r="AV72" s="21">
        <f>EXP(-LN(2)/25)*AV71+(1-EXP(-LN(2)/25))/(LN(2)/25)*Calculateur!AQ72*Calculateur!AS72*VLOOKUP('Données projet'!$B$10,Paramètres!$A$1:$I$89,3,0)*0.475*44/12</f>
        <v>9.6442360913584775</v>
      </c>
      <c r="AW72" s="21">
        <f>EXP(-LN(2)/2)*AW71+(1-EXP(-LN(2)/2))/(LN(2)/2)*AQ72*AT72*VLOOKUP('Données projet'!$B$10,Paramètres!$A$1:$I$89,3,0)*0.475*44/12</f>
        <v>0.25567411628505976</v>
      </c>
      <c r="AX72" s="21">
        <f t="shared" si="60"/>
        <v>49.21521204419448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-2.2737367544323206E-13</v>
      </c>
      <c r="BE72" s="13">
        <f>BD72*VLOOKUP('Données projet'!$B$11,Paramètres!$A$1:$I$89,3,0)*VLOOKUP('Données projet'!$B$11,Paramètres!$A$1:$I$89,5,0)</f>
        <v>-1.3596945791505279E-13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284.60021367910457</v>
      </c>
      <c r="BJ72" s="59">
        <f t="shared" si="92"/>
        <v>301.41905904220812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186.00166196788317</v>
      </c>
      <c r="BQ72" s="21">
        <f>EXP(-LN(2)/25)*BQ71+(1-EXP(-LN(2)/25))/(LN(2)/25)*Calculateur!BL72*Calculateur!BN72*VLOOKUP('Données projet'!$B$11,Paramètres!$A$1:$I$89,3,0)*0.475*44/12</f>
        <v>41.744716519128019</v>
      </c>
      <c r="BR72" s="21">
        <f>EXP(-LN(2)/2)*BR71+(1-EXP(-LN(2)/2))/(LN(2)/2)*BL72*BO72*VLOOKUP('Données projet'!$B$11,Paramètres!$A$1:$I$89,3,0)*0.475*44/12</f>
        <v>12.567811076071361</v>
      </c>
      <c r="BS72" s="22">
        <f t="shared" si="63"/>
        <v>240.31418956308255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-3.4106051316484809E-13</v>
      </c>
      <c r="BZ72" s="13">
        <f>BY72*VLOOKUP('Données projet'!$B$12,Paramètres!$A$1:$I$89,3,0)*VLOOKUP('Données projet'!$B$12,Paramètres!$A$1:$I$89,5,0)</f>
        <v>-1.9065282685915009E-13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490.96084572840579</v>
      </c>
      <c r="CE72" s="59">
        <f t="shared" si="94"/>
        <v>597.91658789908263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286.54692620837085</v>
      </c>
      <c r="CL72" s="21">
        <f>EXP(-LN(2)/25)*CL71+(1-EXP(-LN(2)/25))/(LN(2)/25)*Calculateur!CG72*Calculateur!CI72*VLOOKUP('Données projet'!$B$12,Paramètres!$A$1:$I$89,3,0)*0.475*44/12</f>
        <v>65.781832247476515</v>
      </c>
      <c r="CM72" s="21">
        <f>EXP(-LN(2)/2)*CM71+(1-EXP(-LN(2)/2))/(LN(2)/2)*CG72*CJ72*VLOOKUP('Données projet'!$B$12,Paramètres!$A$1:$I$89,3,0)*0.475*44/12</f>
        <v>16.229602169728928</v>
      </c>
      <c r="CN72" s="22">
        <f t="shared" si="66"/>
        <v>368.55836062557631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11.666666666666666</v>
      </c>
      <c r="N73" s="13">
        <f>IF('Données projet'!$A$36&gt;35,N72+M73-V72,IF(A73&lt;'Données projet'!$A$36,$K$205^A73,IF(A73='Données projet'!$A$36,'Données projet'!$B$36,N72+M73-V72)))</f>
        <v>439.66666666666634</v>
      </c>
      <c r="O73" s="13">
        <f>N73*VLOOKUP('Données projet'!$B$9,Paramètres!$A$1:$I$89,3,0)*VLOOKUP('Données projet'!$B$9,Paramètres!$A$1:$I$89,5,0)</f>
        <v>274.3519999999998</v>
      </c>
      <c r="P73" s="13">
        <f t="shared" si="87"/>
        <v>65.772012247044003</v>
      </c>
      <c r="Q73" s="20">
        <f t="shared" si="54"/>
        <v>592.38265466360133</v>
      </c>
      <c r="R73" s="59">
        <f t="shared" si="55"/>
        <v>885.7159879969347</v>
      </c>
      <c r="S73" s="59">
        <f ca="1">AVERAGE(OFFSET($R$3,0,0,'Données projet'!$E$9+1,1))-AVERAGE(OFFSET($H$3,0,0,'Données projet'!$E$9+1,1))</f>
        <v>482.28841373508675</v>
      </c>
      <c r="T73" s="59">
        <f t="shared" si="88"/>
        <v>746.97309214631684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186.85655460191614</v>
      </c>
      <c r="AA73" s="21">
        <f>EXP(-LN(2)/25)*AA72+(1-EXP(-LN(2)/25))/(LN(2)/25)*Calculateur!V73*Calculateur!X73*VLOOKUP('Données projet'!$B$9,Paramètres!$A$1:$I$89,3,0)*0.475*44/12</f>
        <v>38.47757521107598</v>
      </c>
      <c r="AB73" s="21">
        <f>EXP(-LN(2)/2)*AB72+(1-EXP(-LN(2)/2))/(LN(2)/2)*V73*Y73*VLOOKUP('Données projet'!$B$9,Paramètres!$A$1:$I$89,3,0)*0.475*44/12</f>
        <v>2.9174712526374389</v>
      </c>
      <c r="AC73" s="22">
        <f t="shared" si="57"/>
        <v>228.25160106562956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477.25664</v>
      </c>
      <c r="AG73" s="12">
        <f>VLOOKUP(A73,'Données projet'!$A$61:$I$81,9,0)</f>
        <v>15.5</v>
      </c>
      <c r="AH73" s="12">
        <f t="array" ref="AH73">INDEX(AG:AG,MIN(IF(ISNUMBER(AG73:AG269),ROW(AG73:AG269),"")))</f>
        <v>15.5</v>
      </c>
      <c r="AI73" s="13">
        <f>IF('Données projet'!$A$62&gt;35,AI72+AH73-AQ72,IF(A73&lt;'Données projet'!$A$62,$AF$205^A73,IF(A73='Données projet'!$A$62,'Données projet'!$B$62,AI72+AH73-AQ72)))</f>
        <v>477.25663999999989</v>
      </c>
      <c r="AJ73" s="13">
        <f>AI73*VLOOKUP('Données projet'!$B$10,Paramètres!$A$1:$I$89,3,0)*VLOOKUP('Données projet'!$B$10,Paramètres!$A$1:$I$89,5,0)</f>
        <v>223.35610751999994</v>
      </c>
      <c r="AK73" s="13">
        <f t="shared" si="89"/>
        <v>54.843675132969167</v>
      </c>
      <c r="AL73" s="20">
        <f t="shared" si="58"/>
        <v>484.53128812058782</v>
      </c>
      <c r="AM73" s="59">
        <f t="shared" si="59"/>
        <v>777.86462145392113</v>
      </c>
      <c r="AN73" s="59">
        <f ca="1">AVERAGE(OFFSET($AM$3,0,0,'Données projet'!$E$10+1,1))-AVERAGE(OFFSET($H$3,0,0,'Données projet'!$E$10+1,1))</f>
        <v>259.91478350500478</v>
      </c>
      <c r="AO73" s="59">
        <f t="shared" si="90"/>
        <v>192.27194887051007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95.451328000000004</v>
      </c>
      <c r="AR73" s="16">
        <f>IF(ISNA(VLOOKUP(A73,'Données projet'!$A$61:$I$81,5,0)),0%,VLOOKUP(A73,'Données projet'!$A$61:$I$81,5,0)*VLOOKUP('Données projet'!$B$10,Paramètres!$A$1:$I$89,7,0))</f>
        <v>0.38500000000000001</v>
      </c>
      <c r="AS73" s="16">
        <f>IF(ISNA(VLOOKUP(A73,'Données projet'!$A$61:$I$81,6,0)),0%,VLOOKUP(A73,'Données projet'!$A$61:$I$81,6,0)*VLOOKUP('Données projet'!$B$10,Paramètres!$A$1:$I$89,7,0))</f>
        <v>9.240000000000001E-2</v>
      </c>
      <c r="AT73" s="16">
        <f>IF(ISNA(VLOOKUP(A73,'Données projet'!$A$61:$I$81,7,0)),0%,VLOOKUP(A73,'Données projet'!$A$61:$I$81,7,0))</f>
        <v>0.13200000000000001</v>
      </c>
      <c r="AU73" s="21">
        <f>EXP(-LN(2)/35)*AU72+(1-EXP(-LN(2)/35))/(LN(2)/35)*AQ73*AR73*VLOOKUP('Données projet'!$B$10,Paramètres!$A$1:$I$89,3,0)*0.475*44/12</f>
        <v>61.359165779387524</v>
      </c>
      <c r="AV73" s="21">
        <f>EXP(-LN(2)/25)*AV72+(1-EXP(-LN(2)/25))/(LN(2)/25)*Calculateur!AQ73*Calculateur!AS73*VLOOKUP('Données projet'!$B$10,Paramètres!$A$1:$I$89,3,0)*0.475*44/12</f>
        <v>14.834509729036718</v>
      </c>
      <c r="AW73" s="21">
        <f>EXP(-LN(2)/2)*AW72+(1-EXP(-LN(2)/2))/(LN(2)/2)*AQ73*AT73*VLOOKUP('Données projet'!$B$10,Paramètres!$A$1:$I$89,3,0)*0.475*44/12</f>
        <v>6.8571112692950047</v>
      </c>
      <c r="AX73" s="21">
        <f t="shared" si="60"/>
        <v>83.050786777719239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-2.2737367544323206E-13</v>
      </c>
      <c r="BE73" s="13">
        <f>BD73*VLOOKUP('Données projet'!$B$11,Paramètres!$A$1:$I$89,3,0)*VLOOKUP('Données projet'!$B$11,Paramètres!$A$1:$I$89,5,0)</f>
        <v>-1.3596945791505279E-13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284.60021367910457</v>
      </c>
      <c r="BJ73" s="59">
        <f t="shared" si="92"/>
        <v>301.41905904220812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182.35428282650454</v>
      </c>
      <c r="BQ73" s="21">
        <f>EXP(-LN(2)/25)*BQ72+(1-EXP(-LN(2)/25))/(LN(2)/25)*Calculateur!BL73*Calculateur!BN73*VLOOKUP('Données projet'!$B$11,Paramètres!$A$1:$I$89,3,0)*0.475*44/12</f>
        <v>40.60320505065323</v>
      </c>
      <c r="BR73" s="21">
        <f>EXP(-LN(2)/2)*BR72+(1-EXP(-LN(2)/2))/(LN(2)/2)*BL73*BO73*VLOOKUP('Données projet'!$B$11,Paramètres!$A$1:$I$89,3,0)*0.475*44/12</f>
        <v>8.8867844365614612</v>
      </c>
      <c r="BS73" s="22">
        <f t="shared" si="63"/>
        <v>231.84427231371924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-3.4106051316484809E-13</v>
      </c>
      <c r="BZ73" s="13">
        <f>BY73*VLOOKUP('Données projet'!$B$12,Paramètres!$A$1:$I$89,3,0)*VLOOKUP('Données projet'!$B$12,Paramètres!$A$1:$I$89,5,0)</f>
        <v>-1.9065282685915009E-13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490.96084572840579</v>
      </c>
      <c r="CE73" s="59">
        <f t="shared" si="94"/>
        <v>597.91658789908263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280.92791576179195</v>
      </c>
      <c r="CL73" s="21">
        <f>EXP(-LN(2)/25)*CL72+(1-EXP(-LN(2)/25))/(LN(2)/25)*Calculateur!CG73*Calculateur!CI73*VLOOKUP('Données projet'!$B$12,Paramètres!$A$1:$I$89,3,0)*0.475*44/12</f>
        <v>63.983024585353057</v>
      </c>
      <c r="CM73" s="21">
        <f>EXP(-LN(2)/2)*CM72+(1-EXP(-LN(2)/2))/(LN(2)/2)*CG73*CJ73*VLOOKUP('Données projet'!$B$12,Paramètres!$A$1:$I$89,3,0)*0.475*44/12</f>
        <v>11.47606175017523</v>
      </c>
      <c r="CN73" s="22">
        <f t="shared" si="66"/>
        <v>356.38700209732025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11.666666666666666</v>
      </c>
      <c r="N74" s="13">
        <f>IF('Données projet'!$A$36&gt;35,N73+M74-V73,IF(A74&lt;'Données projet'!$A$36,$K$205^A74,IF(A74='Données projet'!$A$36,'Données projet'!$B$36,N73+M74-V73)))</f>
        <v>451.33333333333303</v>
      </c>
      <c r="O74" s="13">
        <f>N74*VLOOKUP('Données projet'!$B$9,Paramètres!$A$1:$I$89,3,0)*VLOOKUP('Données projet'!$B$9,Paramètres!$A$1:$I$89,5,0)</f>
        <v>281.63199999999983</v>
      </c>
      <c r="P74" s="13">
        <f t="shared" si="87"/>
        <v>67.31178065446916</v>
      </c>
      <c r="Q74" s="20">
        <f t="shared" si="54"/>
        <v>607.74375130653345</v>
      </c>
      <c r="R74" s="59">
        <f t="shared" si="55"/>
        <v>901.07708463986683</v>
      </c>
      <c r="S74" s="59">
        <f ca="1">AVERAGE(OFFSET($R$3,0,0,'Données projet'!$E$9+1,1))-AVERAGE(OFFSET($H$3,0,0,'Données projet'!$E$9+1,1))</f>
        <v>482.28841373508675</v>
      </c>
      <c r="T74" s="59">
        <f t="shared" si="88"/>
        <v>746.97309214631684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183.19241153741714</v>
      </c>
      <c r="AA74" s="21">
        <f>EXP(-LN(2)/25)*AA73+(1-EXP(-LN(2)/25))/(LN(2)/25)*Calculateur!V74*Calculateur!X74*VLOOKUP('Données projet'!$B$9,Paramètres!$A$1:$I$89,3,0)*0.475*44/12</f>
        <v>37.425403893481366</v>
      </c>
      <c r="AB74" s="21">
        <f>EXP(-LN(2)/2)*AB73+(1-EXP(-LN(2)/2))/(LN(2)/2)*V74*Y74*VLOOKUP('Données projet'!$B$9,Paramètres!$A$1:$I$89,3,0)*0.475*44/12</f>
        <v>2.0629637066567446</v>
      </c>
      <c r="AC74" s="22">
        <f t="shared" si="57"/>
        <v>222.68077913755525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16.999999999999993</v>
      </c>
      <c r="AI74" s="13">
        <f>IF('Données projet'!$A$62&gt;35,AI73+AH74-AQ73,IF(A74&lt;'Données projet'!$A$62,$AF$205^A74,IF(A74='Données projet'!$A$62,'Données projet'!$B$62,AI73+AH74-AQ73)))</f>
        <v>398.8053119999999</v>
      </c>
      <c r="AJ74" s="13">
        <f>AI74*VLOOKUP('Données projet'!$B$10,Paramètres!$A$1:$I$89,3,0)*VLOOKUP('Données projet'!$B$10,Paramètres!$A$1:$I$89,5,0)</f>
        <v>186.64088601599994</v>
      </c>
      <c r="AK74" s="13">
        <f t="shared" si="89"/>
        <v>46.796531215825397</v>
      </c>
      <c r="AL74" s="20">
        <f t="shared" si="58"/>
        <v>406.57016834542907</v>
      </c>
      <c r="AM74" s="59">
        <f t="shared" si="59"/>
        <v>699.90350167876238</v>
      </c>
      <c r="AN74" s="59">
        <f ca="1">AVERAGE(OFFSET($AM$3,0,0,'Données projet'!$E$10+1,1))-AVERAGE(OFFSET($H$3,0,0,'Données projet'!$E$10+1,1))</f>
        <v>259.91478350500478</v>
      </c>
      <c r="AO74" s="59">
        <f t="shared" si="90"/>
        <v>192.27194887051007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60.155949963849409</v>
      </c>
      <c r="AV74" s="21">
        <f>EXP(-LN(2)/25)*AV73+(1-EXP(-LN(2)/25))/(LN(2)/25)*Calculateur!AQ74*Calculateur!AS74*VLOOKUP('Données projet'!$B$10,Paramètres!$A$1:$I$89,3,0)*0.475*44/12</f>
        <v>14.428859280383246</v>
      </c>
      <c r="AW74" s="21">
        <f>EXP(-LN(2)/2)*AW73+(1-EXP(-LN(2)/2))/(LN(2)/2)*AQ74*AT74*VLOOKUP('Données projet'!$B$10,Paramètres!$A$1:$I$89,3,0)*0.475*44/12</f>
        <v>4.8487098778691919</v>
      </c>
      <c r="AX74" s="21">
        <f t="shared" si="60"/>
        <v>79.433519122101856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-2.2737367544323206E-13</v>
      </c>
      <c r="BE74" s="13">
        <f>BD74*VLOOKUP('Données projet'!$B$11,Paramètres!$A$1:$I$89,3,0)*VLOOKUP('Données projet'!$B$11,Paramètres!$A$1:$I$89,5,0)</f>
        <v>-1.3596945791505279E-13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284.60021367910457</v>
      </c>
      <c r="BJ74" s="59">
        <f t="shared" si="92"/>
        <v>301.41905904220812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178.77842656540673</v>
      </c>
      <c r="BQ74" s="21">
        <f>EXP(-LN(2)/25)*BQ73+(1-EXP(-LN(2)/25))/(LN(2)/25)*Calculateur!BL74*Calculateur!BN74*VLOOKUP('Données projet'!$B$11,Paramètres!$A$1:$I$89,3,0)*0.475*44/12</f>
        <v>39.492908273313361</v>
      </c>
      <c r="BR74" s="21">
        <f>EXP(-LN(2)/2)*BR73+(1-EXP(-LN(2)/2))/(LN(2)/2)*BL74*BO74*VLOOKUP('Données projet'!$B$11,Paramètres!$A$1:$I$89,3,0)*0.475*44/12</f>
        <v>6.2839055380356816</v>
      </c>
      <c r="BS74" s="22">
        <f t="shared" si="63"/>
        <v>224.55524037675576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-3.4106051316484809E-13</v>
      </c>
      <c r="BZ74" s="13">
        <f>BY74*VLOOKUP('Données projet'!$B$12,Paramètres!$A$1:$I$89,3,0)*VLOOKUP('Données projet'!$B$12,Paramètres!$A$1:$I$89,5,0)</f>
        <v>-1.9065282685915009E-13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490.96084572840579</v>
      </c>
      <c r="CE74" s="59">
        <f t="shared" si="94"/>
        <v>597.91658789908263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275.41909068281251</v>
      </c>
      <c r="CL74" s="21">
        <f>EXP(-LN(2)/25)*CL73+(1-EXP(-LN(2)/25))/(LN(2)/25)*Calculateur!CG74*Calculateur!CI74*VLOOKUP('Données projet'!$B$12,Paramètres!$A$1:$I$89,3,0)*0.475*44/12</f>
        <v>62.233405413345551</v>
      </c>
      <c r="CM74" s="21">
        <f>EXP(-LN(2)/2)*CM73+(1-EXP(-LN(2)/2))/(LN(2)/2)*CG74*CJ74*VLOOKUP('Données projet'!$B$12,Paramètres!$A$1:$I$89,3,0)*0.475*44/12</f>
        <v>8.1148010848644638</v>
      </c>
      <c r="CN74" s="22">
        <f t="shared" si="66"/>
        <v>345.76729718102251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>
        <f>VLOOKUP(A75,'Données projet'!$A$35:$I$55,2,0)</f>
        <v>463</v>
      </c>
      <c r="L75" s="12">
        <f>VLOOKUP(A75,'Données projet'!$A$35:$I$55,9,0)</f>
        <v>11.666666666666666</v>
      </c>
      <c r="M75" s="12">
        <f t="array" ref="M75">INDEX(L:L,MIN(IF(ISNUMBER(L75:L271),ROW(L75:L271),"")))</f>
        <v>11.666666666666666</v>
      </c>
      <c r="N75" s="13">
        <f>IF('Données projet'!$A$36&gt;35,N74+M75-V74,IF(A75&lt;'Données projet'!$A$36,$K$205^A75,IF(A75='Données projet'!$A$36,'Données projet'!$B$36,N74+M75-V74)))</f>
        <v>462.99999999999972</v>
      </c>
      <c r="O75" s="13">
        <f>N75*VLOOKUP('Données projet'!$B$9,Paramètres!$A$1:$I$89,3,0)*VLOOKUP('Données projet'!$B$9,Paramètres!$A$1:$I$89,5,0)</f>
        <v>288.91199999999986</v>
      </c>
      <c r="P75" s="13">
        <f t="shared" si="87"/>
        <v>68.846922528760416</v>
      </c>
      <c r="Q75" s="20">
        <f t="shared" si="54"/>
        <v>623.09679007092416</v>
      </c>
      <c r="R75" s="59">
        <f t="shared" si="55"/>
        <v>916.43012340425753</v>
      </c>
      <c r="S75" s="59">
        <f ca="1">AVERAGE(OFFSET($R$3,0,0,'Données projet'!$E$9+1,1))-AVERAGE(OFFSET($H$3,0,0,'Données projet'!$E$9+1,1))</f>
        <v>482.28841373508675</v>
      </c>
      <c r="T75" s="59">
        <f t="shared" si="88"/>
        <v>746.97309214631684</v>
      </c>
      <c r="U75" s="15">
        <f>IF(ISNA(VLOOKUP(A75,'Données projet'!$A$35:$I$55,3,0)),0,VLOOKUP(A75,'Données projet'!$A$35:$I$55,3,0))</f>
        <v>8</v>
      </c>
      <c r="V75" s="15">
        <f>IF(ISNA(VLOOKUP(A75,'Données projet'!$A$35:$I$55,4,0)),0,VLOOKUP(A75,'Données projet'!$A$35:$I$55,4,0))</f>
        <v>101</v>
      </c>
      <c r="W75" s="16">
        <f>IF(ISNA(VLOOKUP(A75,'Données projet'!$A$35:$I$55,5,0)),0%,VLOOKUP(A75,'Données projet'!$A$35:$I$55,5,0)*VLOOKUP('Données projet'!$B$9,Paramètres!$A$1:$I$89,7,0))</f>
        <v>0.42</v>
      </c>
      <c r="X75" s="16">
        <f>IF(ISNA(VLOOKUP(A75,'Données projet'!$A$35:$I$55,6,0)),0%,VLOOKUP(A75,'Données projet'!$A$35:$I$55,6,0)*VLOOKUP('Données projet'!$B$9,Paramètres!$A$1:$I$89,7,0))</f>
        <v>0.1008</v>
      </c>
      <c r="Y75" s="16">
        <f>IF(ISNA(VLOOKUP(A75,'Données projet'!$A$35:$I$55,7,0)),0%,VLOOKUP(A75,'Données projet'!$A$35:$I$55,7,0))</f>
        <v>0.13200000000000001</v>
      </c>
      <c r="Z75" s="21">
        <f>EXP(-LN(2)/35)*Z74+(1-EXP(-LN(2)/35))/(LN(2)/35)*V75*W75*VLOOKUP('Données projet'!$B$9,Paramètres!$A$1:$I$89,3,0)*0.475*44/12</f>
        <v>214.71438734414747</v>
      </c>
      <c r="AA75" s="21">
        <f>EXP(-LN(2)/25)*AA74+(1-EXP(-LN(2)/25))/(LN(2)/25)*Calculateur!V75*Calculateur!X75*VLOOKUP('Données projet'!$B$9,Paramètres!$A$1:$I$89,3,0)*0.475*44/12</f>
        <v>44.796246418501944</v>
      </c>
      <c r="AB75" s="21">
        <f>EXP(-LN(2)/2)*AB74+(1-EXP(-LN(2)/2))/(LN(2)/2)*V75*Y75*VLOOKUP('Données projet'!$B$9,Paramètres!$A$1:$I$89,3,0)*0.475*44/12</f>
        <v>10.877966324467375</v>
      </c>
      <c r="AC75" s="22">
        <f t="shared" si="57"/>
        <v>270.3886000871168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16.999999999999993</v>
      </c>
      <c r="AI75" s="13">
        <f>IF('Données projet'!$A$62&gt;35,AI74+AH75-AQ74,IF(A75&lt;'Données projet'!$A$62,$AF$205^A75,IF(A75='Données projet'!$A$62,'Données projet'!$B$62,AI74+AH75-AQ74)))</f>
        <v>415.8053119999999</v>
      </c>
      <c r="AJ75" s="13">
        <f>AI75*VLOOKUP('Données projet'!$B$10,Paramètres!$A$1:$I$89,3,0)*VLOOKUP('Données projet'!$B$10,Paramètres!$A$1:$I$89,5,0)</f>
        <v>194.59688601599996</v>
      </c>
      <c r="AK75" s="13">
        <f t="shared" si="89"/>
        <v>48.554840744218808</v>
      </c>
      <c r="AL75" s="20">
        <f t="shared" si="58"/>
        <v>423.48925744071431</v>
      </c>
      <c r="AM75" s="59">
        <f t="shared" si="59"/>
        <v>716.82259077404763</v>
      </c>
      <c r="AN75" s="59">
        <f ca="1">AVERAGE(OFFSET($AM$3,0,0,'Données projet'!$E$10+1,1))-AVERAGE(OFFSET($H$3,0,0,'Données projet'!$E$10+1,1))</f>
        <v>259.91478350500478</v>
      </c>
      <c r="AO75" s="59">
        <f t="shared" si="90"/>
        <v>192.27194887051007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58.976328476564817</v>
      </c>
      <c r="AV75" s="21">
        <f>EXP(-LN(2)/25)*AV74+(1-EXP(-LN(2)/25))/(LN(2)/25)*Calculateur!AQ75*Calculateur!AS75*VLOOKUP('Données projet'!$B$10,Paramètres!$A$1:$I$89,3,0)*0.475*44/12</f>
        <v>14.034301364580434</v>
      </c>
      <c r="AW75" s="21">
        <f>EXP(-LN(2)/2)*AW74+(1-EXP(-LN(2)/2))/(LN(2)/2)*AQ75*AT75*VLOOKUP('Données projet'!$B$10,Paramètres!$A$1:$I$89,3,0)*0.475*44/12</f>
        <v>3.4285556346475023</v>
      </c>
      <c r="AX75" s="21">
        <f t="shared" si="60"/>
        <v>76.439185475792755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-2.2737367544323206E-13</v>
      </c>
      <c r="BE75" s="13">
        <f>BD75*VLOOKUP('Données projet'!$B$11,Paramètres!$A$1:$I$89,3,0)*VLOOKUP('Données projet'!$B$11,Paramètres!$A$1:$I$89,5,0)</f>
        <v>-1.3596945791505279E-13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284.60021367910457</v>
      </c>
      <c r="BJ75" s="59">
        <f t="shared" si="92"/>
        <v>301.41905904220812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175.27269066453209</v>
      </c>
      <c r="BQ75" s="21">
        <f>EXP(-LN(2)/25)*BQ74+(1-EXP(-LN(2)/25))/(LN(2)/25)*Calculateur!BL75*Calculateur!BN75*VLOOKUP('Données projet'!$B$11,Paramètres!$A$1:$I$89,3,0)*0.475*44/12</f>
        <v>38.412972619737822</v>
      </c>
      <c r="BR75" s="21">
        <f>EXP(-LN(2)/2)*BR74+(1-EXP(-LN(2)/2))/(LN(2)/2)*BL75*BO75*VLOOKUP('Données projet'!$B$11,Paramètres!$A$1:$I$89,3,0)*0.475*44/12</f>
        <v>4.4433922182807315</v>
      </c>
      <c r="BS75" s="22">
        <f t="shared" si="63"/>
        <v>218.12905550255064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-3.4106051316484809E-13</v>
      </c>
      <c r="BZ75" s="13">
        <f>BY75*VLOOKUP('Données projet'!$B$12,Paramètres!$A$1:$I$89,3,0)*VLOOKUP('Données projet'!$B$12,Paramètres!$A$1:$I$89,5,0)</f>
        <v>-1.9065282685915009E-13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490.96084572840579</v>
      </c>
      <c r="CE75" s="59">
        <f t="shared" si="94"/>
        <v>597.91658789908263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270.01829030358033</v>
      </c>
      <c r="CL75" s="21">
        <f>EXP(-LN(2)/25)*CL74+(1-EXP(-LN(2)/25))/(LN(2)/25)*Calculateur!CG75*Calculateur!CI75*VLOOKUP('Données projet'!$B$12,Paramètres!$A$1:$I$89,3,0)*0.475*44/12</f>
        <v>60.53162966960506</v>
      </c>
      <c r="CM75" s="21">
        <f>EXP(-LN(2)/2)*CM74+(1-EXP(-LN(2)/2))/(LN(2)/2)*CG75*CJ75*VLOOKUP('Données projet'!$B$12,Paramètres!$A$1:$I$89,3,0)*0.475*44/12</f>
        <v>5.738030875087615</v>
      </c>
      <c r="CN75" s="22">
        <f t="shared" si="66"/>
        <v>336.287950848273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10.666666666666666</v>
      </c>
      <c r="N76" s="13">
        <f>IF('Données projet'!$A$36&gt;35,N75+M76-V75,IF(A76&lt;'Données projet'!$A$36,$K$205^A76,IF(A76='Données projet'!$A$36,'Données projet'!$B$36,N75+M76-V75)))</f>
        <v>372.6666666666664</v>
      </c>
      <c r="O76" s="13">
        <f>N76*VLOOKUP('Données projet'!$B$9,Paramètres!$A$1:$I$89,3,0)*VLOOKUP('Données projet'!$B$9,Paramètres!$A$1:$I$89,5,0)</f>
        <v>232.54399999999981</v>
      </c>
      <c r="P76" s="13">
        <f t="shared" si="87"/>
        <v>56.832401153973727</v>
      </c>
      <c r="Q76" s="20">
        <f t="shared" si="54"/>
        <v>503.99723200983721</v>
      </c>
      <c r="R76" s="59">
        <f t="shared" si="55"/>
        <v>797.33056534317052</v>
      </c>
      <c r="S76" s="59">
        <f ca="1">AVERAGE(OFFSET($R$3,0,0,'Données projet'!$E$9+1,1))-AVERAGE(OFFSET($H$3,0,0,'Données projet'!$E$9+1,1))</f>
        <v>482.28841373508675</v>
      </c>
      <c r="T76" s="59">
        <f t="shared" si="88"/>
        <v>746.97309214631684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210.50396917117351</v>
      </c>
      <c r="AA76" s="21">
        <f>EXP(-LN(2)/25)*AA75+(1-EXP(-LN(2)/25))/(LN(2)/25)*Calculateur!V76*Calculateur!X76*VLOOKUP('Données projet'!$B$9,Paramètres!$A$1:$I$89,3,0)*0.475*44/12</f>
        <v>43.571290704455791</v>
      </c>
      <c r="AB76" s="21">
        <f>EXP(-LN(2)/2)*AB75+(1-EXP(-LN(2)/2))/(LN(2)/2)*V76*Y76*VLOOKUP('Données projet'!$B$9,Paramètres!$A$1:$I$89,3,0)*0.475*44/12</f>
        <v>7.691883753549785</v>
      </c>
      <c r="AC76" s="22">
        <f t="shared" si="57"/>
        <v>261.76714362917909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16.999999999999993</v>
      </c>
      <c r="AI76" s="13">
        <f>IF('Données projet'!$A$62&gt;35,AI75+AH76-AQ75,IF(A76&lt;'Données projet'!$A$62,$AF$205^A76,IF(A76='Données projet'!$A$62,'Données projet'!$B$62,AI75+AH76-AQ75)))</f>
        <v>432.8053119999999</v>
      </c>
      <c r="AJ76" s="13">
        <f>AI76*VLOOKUP('Données projet'!$B$10,Paramètres!$A$1:$I$89,3,0)*VLOOKUP('Données projet'!$B$10,Paramètres!$A$1:$I$89,5,0)</f>
        <v>202.55288601599997</v>
      </c>
      <c r="AK76" s="13">
        <f t="shared" si="89"/>
        <v>50.304799973902909</v>
      </c>
      <c r="AL76" s="20">
        <f t="shared" si="58"/>
        <v>440.3938030990808</v>
      </c>
      <c r="AM76" s="59">
        <f t="shared" si="59"/>
        <v>733.72713643241411</v>
      </c>
      <c r="AN76" s="59">
        <f ca="1">AVERAGE(OFFSET($AM$3,0,0,'Données projet'!$E$10+1,1))-AVERAGE(OFFSET($H$3,0,0,'Données projet'!$E$10+1,1))</f>
        <v>259.91478350500478</v>
      </c>
      <c r="AO76" s="59">
        <f t="shared" si="90"/>
        <v>192.27194887051007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57.819838647147812</v>
      </c>
      <c r="AV76" s="21">
        <f>EXP(-LN(2)/25)*AV75+(1-EXP(-LN(2)/25))/(LN(2)/25)*Calculateur!AQ76*Calculateur!AS76*VLOOKUP('Données projet'!$B$10,Paramètres!$A$1:$I$89,3,0)*0.475*44/12</f>
        <v>13.65053265573415</v>
      </c>
      <c r="AW76" s="21">
        <f>EXP(-LN(2)/2)*AW75+(1-EXP(-LN(2)/2))/(LN(2)/2)*AQ76*AT76*VLOOKUP('Données projet'!$B$10,Paramètres!$A$1:$I$89,3,0)*0.475*44/12</f>
        <v>2.424354938934596</v>
      </c>
      <c r="AX76" s="21">
        <f t="shared" si="60"/>
        <v>73.894726241816556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-2.2737367544323206E-13</v>
      </c>
      <c r="BE76" s="13">
        <f>BD76*VLOOKUP('Données projet'!$B$11,Paramètres!$A$1:$I$89,3,0)*VLOOKUP('Données projet'!$B$11,Paramètres!$A$1:$I$89,5,0)</f>
        <v>-1.3596945791505279E-13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284.60021367910457</v>
      </c>
      <c r="BJ76" s="59">
        <f t="shared" si="92"/>
        <v>301.41905904220812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171.83570010638584</v>
      </c>
      <c r="BQ76" s="21">
        <f>EXP(-LN(2)/25)*BQ75+(1-EXP(-LN(2)/25))/(LN(2)/25)*Calculateur!BL76*Calculateur!BN76*VLOOKUP('Données projet'!$B$11,Paramètres!$A$1:$I$89,3,0)*0.475*44/12</f>
        <v>37.362567863400656</v>
      </c>
      <c r="BR76" s="21">
        <f>EXP(-LN(2)/2)*BR75+(1-EXP(-LN(2)/2))/(LN(2)/2)*BL76*BO76*VLOOKUP('Données projet'!$B$11,Paramètres!$A$1:$I$89,3,0)*0.475*44/12</f>
        <v>3.1419527690178413</v>
      </c>
      <c r="BS76" s="22">
        <f t="shared" si="63"/>
        <v>212.34022073880436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-3.4106051316484809E-13</v>
      </c>
      <c r="BZ76" s="13">
        <f>BY76*VLOOKUP('Données projet'!$B$12,Paramètres!$A$1:$I$89,3,0)*VLOOKUP('Données projet'!$B$12,Paramètres!$A$1:$I$89,5,0)</f>
        <v>-1.9065282685915009E-13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490.96084572840579</v>
      </c>
      <c r="CE76" s="59">
        <f t="shared" si="94"/>
        <v>597.91658789908263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264.72339632562193</v>
      </c>
      <c r="CL76" s="21">
        <f>EXP(-LN(2)/25)*CL75+(1-EXP(-LN(2)/25))/(LN(2)/25)*Calculateur!CG76*Calculateur!CI76*VLOOKUP('Données projet'!$B$12,Paramètres!$A$1:$I$89,3,0)*0.475*44/12</f>
        <v>58.876389073069653</v>
      </c>
      <c r="CM76" s="21">
        <f>EXP(-LN(2)/2)*CM75+(1-EXP(-LN(2)/2))/(LN(2)/2)*CG76*CJ76*VLOOKUP('Données projet'!$B$12,Paramètres!$A$1:$I$89,3,0)*0.475*44/12</f>
        <v>4.0574005424322319</v>
      </c>
      <c r="CN76" s="22">
        <f t="shared" si="66"/>
        <v>327.65718594112383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10.666666666666666</v>
      </c>
      <c r="N77" s="13">
        <f>IF('Données projet'!$A$36&gt;35,N76+M77-V76,IF(A77&lt;'Données projet'!$A$36,$K$205^A77,IF(A77='Données projet'!$A$36,'Données projet'!$B$36,N76+M77-V76)))</f>
        <v>383.33333333333309</v>
      </c>
      <c r="O77" s="13">
        <f>N77*VLOOKUP('Données projet'!$B$9,Paramètres!$A$1:$I$89,3,0)*VLOOKUP('Données projet'!$B$9,Paramètres!$A$1:$I$89,5,0)</f>
        <v>239.19999999999985</v>
      </c>
      <c r="P77" s="13">
        <f t="shared" si="87"/>
        <v>58.267373151570702</v>
      </c>
      <c r="Q77" s="20">
        <f t="shared" si="54"/>
        <v>518.08900823898523</v>
      </c>
      <c r="R77" s="59">
        <f t="shared" si="55"/>
        <v>811.4223415723186</v>
      </c>
      <c r="S77" s="59">
        <f ca="1">AVERAGE(OFFSET($R$3,0,0,'Données projet'!$E$9+1,1))-AVERAGE(OFFSET($H$3,0,0,'Données projet'!$E$9+1,1))</f>
        <v>482.28841373508675</v>
      </c>
      <c r="T77" s="59">
        <f t="shared" si="88"/>
        <v>746.97309214631684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206.37611473047005</v>
      </c>
      <c r="AA77" s="21">
        <f>EXP(-LN(2)/25)*AA76+(1-EXP(-LN(2)/25))/(LN(2)/25)*Calculateur!V77*Calculateur!X77*VLOOKUP('Données projet'!$B$9,Paramètres!$A$1:$I$89,3,0)*0.475*44/12</f>
        <v>42.379831468827852</v>
      </c>
      <c r="AB77" s="21">
        <f>EXP(-LN(2)/2)*AB76+(1-EXP(-LN(2)/2))/(LN(2)/2)*V77*Y77*VLOOKUP('Données projet'!$B$9,Paramètres!$A$1:$I$89,3,0)*0.475*44/12</f>
        <v>5.4389831622336882</v>
      </c>
      <c r="AC77" s="22">
        <f t="shared" si="57"/>
        <v>254.19492936153159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16.999999999999993</v>
      </c>
      <c r="AI77" s="13">
        <f>IF('Données projet'!$A$62&gt;35,AI76+AH77-AQ76,IF(A77&lt;'Données projet'!$A$62,$AF$205^A77,IF(A77='Données projet'!$A$62,'Données projet'!$B$62,AI76+AH77-AQ76)))</f>
        <v>449.8053119999999</v>
      </c>
      <c r="AJ77" s="13">
        <f>AI77*VLOOKUP('Données projet'!$B$10,Paramètres!$A$1:$I$89,3,0)*VLOOKUP('Données projet'!$B$10,Paramètres!$A$1:$I$89,5,0)</f>
        <v>210.50888601599996</v>
      </c>
      <c r="AK77" s="13">
        <f t="shared" si="89"/>
        <v>52.0467744266927</v>
      </c>
      <c r="AL77" s="20">
        <f t="shared" si="58"/>
        <v>457.28444193768973</v>
      </c>
      <c r="AM77" s="59">
        <f t="shared" si="59"/>
        <v>750.61777527102299</v>
      </c>
      <c r="AN77" s="59">
        <f ca="1">AVERAGE(OFFSET($AM$3,0,0,'Données projet'!$E$10+1,1))-AVERAGE(OFFSET($H$3,0,0,'Données projet'!$E$10+1,1))</f>
        <v>259.91478350500478</v>
      </c>
      <c r="AO77" s="59">
        <f t="shared" si="90"/>
        <v>192.27194887051007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56.686026877896531</v>
      </c>
      <c r="AV77" s="21">
        <f>EXP(-LN(2)/25)*AV76+(1-EXP(-LN(2)/25))/(LN(2)/25)*Calculateur!AQ77*Calculateur!AS77*VLOOKUP('Données projet'!$B$10,Paramètres!$A$1:$I$89,3,0)*0.475*44/12</f>
        <v>13.277258122412785</v>
      </c>
      <c r="AW77" s="21">
        <f>EXP(-LN(2)/2)*AW76+(1-EXP(-LN(2)/2))/(LN(2)/2)*AQ77*AT77*VLOOKUP('Données projet'!$B$10,Paramètres!$A$1:$I$89,3,0)*0.475*44/12</f>
        <v>1.7142778173237512</v>
      </c>
      <c r="AX77" s="21">
        <f t="shared" si="60"/>
        <v>71.67756281763306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-2.2737367544323206E-13</v>
      </c>
      <c r="BE77" s="13">
        <f>BD77*VLOOKUP('Données projet'!$B$11,Paramètres!$A$1:$I$89,3,0)*VLOOKUP('Données projet'!$B$11,Paramètres!$A$1:$I$89,5,0)</f>
        <v>-1.3596945791505279E-13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284.60021367910457</v>
      </c>
      <c r="BJ77" s="59">
        <f t="shared" si="92"/>
        <v>301.41905904220812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168.46610683672762</v>
      </c>
      <c r="BQ77" s="21">
        <f>EXP(-LN(2)/25)*BQ76+(1-EXP(-LN(2)/25))/(LN(2)/25)*Calculateur!BL77*Calculateur!BN77*VLOOKUP('Données projet'!$B$11,Paramètres!$A$1:$I$89,3,0)*0.475*44/12</f>
        <v>36.340886480363913</v>
      </c>
      <c r="BR77" s="21">
        <f>EXP(-LN(2)/2)*BR76+(1-EXP(-LN(2)/2))/(LN(2)/2)*BL77*BO77*VLOOKUP('Données projet'!$B$11,Paramètres!$A$1:$I$89,3,0)*0.475*44/12</f>
        <v>2.2216961091403657</v>
      </c>
      <c r="BS77" s="22">
        <f t="shared" si="63"/>
        <v>207.02868942623189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-3.4106051316484809E-13</v>
      </c>
      <c r="BZ77" s="13">
        <f>BY77*VLOOKUP('Données projet'!$B$12,Paramètres!$A$1:$I$89,3,0)*VLOOKUP('Données projet'!$B$12,Paramètres!$A$1:$I$89,5,0)</f>
        <v>-1.9065282685915009E-13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490.96084572840579</v>
      </c>
      <c r="CE77" s="59">
        <f t="shared" si="94"/>
        <v>597.91658789908263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259.53233198900489</v>
      </c>
      <c r="CL77" s="21">
        <f>EXP(-LN(2)/25)*CL76+(1-EXP(-LN(2)/25))/(LN(2)/25)*Calculateur!CG77*Calculateur!CI77*VLOOKUP('Données projet'!$B$12,Paramètres!$A$1:$I$89,3,0)*0.475*44/12</f>
        <v>57.266411117691824</v>
      </c>
      <c r="CM77" s="21">
        <f>EXP(-LN(2)/2)*CM76+(1-EXP(-LN(2)/2))/(LN(2)/2)*CG77*CJ77*VLOOKUP('Données projet'!$B$12,Paramètres!$A$1:$I$89,3,0)*0.475*44/12</f>
        <v>2.8690154375438075</v>
      </c>
      <c r="CN77" s="22">
        <f t="shared" si="66"/>
        <v>319.66775854424048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10.666666666666666</v>
      </c>
      <c r="N78" s="13">
        <f>IF('Données projet'!$A$36&gt;35,N77+M78-V77,IF(A78&lt;'Données projet'!$A$36,$K$205^A78,IF(A78='Données projet'!$A$36,'Données projet'!$B$36,N77+M78-V77)))</f>
        <v>393.99999999999977</v>
      </c>
      <c r="O78" s="13">
        <f>N78*VLOOKUP('Données projet'!$B$9,Paramètres!$A$1:$I$89,3,0)*VLOOKUP('Données projet'!$B$9,Paramètres!$A$1:$I$89,5,0)</f>
        <v>245.85599999999985</v>
      </c>
      <c r="P78" s="13">
        <f t="shared" si="87"/>
        <v>59.697704223313963</v>
      </c>
      <c r="Q78" s="20">
        <f t="shared" si="54"/>
        <v>532.17270152227161</v>
      </c>
      <c r="R78" s="59">
        <f t="shared" si="55"/>
        <v>825.50603485560487</v>
      </c>
      <c r="S78" s="59">
        <f ca="1">AVERAGE(OFFSET($R$3,0,0,'Données projet'!$E$9+1,1))-AVERAGE(OFFSET($H$3,0,0,'Données projet'!$E$9+1,1))</f>
        <v>482.28841373508675</v>
      </c>
      <c r="T78" s="59">
        <f t="shared" si="88"/>
        <v>746.97309214631684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202.32920499760618</v>
      </c>
      <c r="AA78" s="21">
        <f>EXP(-LN(2)/25)*AA77+(1-EXP(-LN(2)/25))/(LN(2)/25)*Calculateur!V78*Calculateur!X78*VLOOKUP('Données projet'!$B$9,Paramètres!$A$1:$I$89,3,0)*0.475*44/12</f>
        <v>41.220952748654277</v>
      </c>
      <c r="AB78" s="21">
        <f>EXP(-LN(2)/2)*AB77+(1-EXP(-LN(2)/2))/(LN(2)/2)*V78*Y78*VLOOKUP('Données projet'!$B$9,Paramètres!$A$1:$I$89,3,0)*0.475*44/12</f>
        <v>3.845941876774893</v>
      </c>
      <c r="AC78" s="22">
        <f t="shared" si="57"/>
        <v>247.39609962303535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16.999999999999993</v>
      </c>
      <c r="AI78" s="13">
        <f>IF('Données projet'!$A$62&gt;35,AI77+AH78-AQ77,IF(A78&lt;'Données projet'!$A$62,$AF$205^A78,IF(A78='Données projet'!$A$62,'Données projet'!$B$62,AI77+AH78-AQ77)))</f>
        <v>466.8053119999999</v>
      </c>
      <c r="AJ78" s="13">
        <f>AI78*VLOOKUP('Données projet'!$B$10,Paramètres!$A$1:$I$89,3,0)*VLOOKUP('Données projet'!$B$10,Paramètres!$A$1:$I$89,5,0)</f>
        <v>218.46488601599995</v>
      </c>
      <c r="AK78" s="13">
        <f t="shared" si="89"/>
        <v>53.781100430211517</v>
      </c>
      <c r="AL78" s="20">
        <f t="shared" si="58"/>
        <v>474.1617597271516</v>
      </c>
      <c r="AM78" s="59">
        <f t="shared" si="59"/>
        <v>767.49509306048492</v>
      </c>
      <c r="AN78" s="59">
        <f ca="1">AVERAGE(OFFSET($AM$3,0,0,'Données projet'!$E$10+1,1))-AVERAGE(OFFSET($H$3,0,0,'Données projet'!$E$10+1,1))</f>
        <v>259.91478350500478</v>
      </c>
      <c r="AO78" s="59">
        <f t="shared" si="90"/>
        <v>192.27194887051007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55.574448465883371</v>
      </c>
      <c r="AV78" s="21">
        <f>EXP(-LN(2)/25)*AV77+(1-EXP(-LN(2)/25))/(LN(2)/25)*Calculateur!AQ78*Calculateur!AS78*VLOOKUP('Données projet'!$B$10,Paramètres!$A$1:$I$89,3,0)*0.475*44/12</f>
        <v>12.914190800834749</v>
      </c>
      <c r="AW78" s="21">
        <f>EXP(-LN(2)/2)*AW77+(1-EXP(-LN(2)/2))/(LN(2)/2)*AQ78*AT78*VLOOKUP('Données projet'!$B$10,Paramètres!$A$1:$I$89,3,0)*0.475*44/12</f>
        <v>1.212177469467298</v>
      </c>
      <c r="AX78" s="21">
        <f t="shared" si="60"/>
        <v>69.700816736185416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-2.2737367544323206E-13</v>
      </c>
      <c r="BE78" s="13">
        <f>BD78*VLOOKUP('Données projet'!$B$11,Paramètres!$A$1:$I$89,3,0)*VLOOKUP('Données projet'!$B$11,Paramètres!$A$1:$I$89,5,0)</f>
        <v>-1.3596945791505279E-13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284.60021367910457</v>
      </c>
      <c r="BJ78" s="59">
        <f t="shared" si="92"/>
        <v>301.41905904220812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165.16258923583842</v>
      </c>
      <c r="BQ78" s="21">
        <f>EXP(-LN(2)/25)*BQ77+(1-EXP(-LN(2)/25))/(LN(2)/25)*Calculateur!BL78*Calculateur!BN78*VLOOKUP('Données projet'!$B$11,Paramètres!$A$1:$I$89,3,0)*0.475*44/12</f>
        <v>35.3471430284742</v>
      </c>
      <c r="BR78" s="21">
        <f>EXP(-LN(2)/2)*BR77+(1-EXP(-LN(2)/2))/(LN(2)/2)*BL78*BO78*VLOOKUP('Données projet'!$B$11,Paramètres!$A$1:$I$89,3,0)*0.475*44/12</f>
        <v>1.5709763845089206</v>
      </c>
      <c r="BS78" s="22">
        <f t="shared" si="63"/>
        <v>202.08070864882154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-3.4106051316484809E-13</v>
      </c>
      <c r="BZ78" s="13">
        <f>BY78*VLOOKUP('Données projet'!$B$12,Paramètres!$A$1:$I$89,3,0)*VLOOKUP('Données projet'!$B$12,Paramètres!$A$1:$I$89,5,0)</f>
        <v>-1.9065282685915009E-13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490.96084572840579</v>
      </c>
      <c r="CE78" s="59">
        <f t="shared" si="94"/>
        <v>597.91658789908263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254.44306125779227</v>
      </c>
      <c r="CL78" s="21">
        <f>EXP(-LN(2)/25)*CL77+(1-EXP(-LN(2)/25))/(LN(2)/25)*Calculateur!CG78*Calculateur!CI78*VLOOKUP('Données projet'!$B$12,Paramètres!$A$1:$I$89,3,0)*0.475*44/12</f>
        <v>55.700458094168866</v>
      </c>
      <c r="CM78" s="21">
        <f>EXP(-LN(2)/2)*CM77+(1-EXP(-LN(2)/2))/(LN(2)/2)*CG78*CJ78*VLOOKUP('Données projet'!$B$12,Paramètres!$A$1:$I$89,3,0)*0.475*44/12</f>
        <v>2.028700271216116</v>
      </c>
      <c r="CN78" s="22">
        <f t="shared" si="66"/>
        <v>312.17221962317723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10.666666666666666</v>
      </c>
      <c r="N79" s="13">
        <f>IF('Données projet'!$A$36&gt;35,N78+M79-V78,IF(A79&lt;'Données projet'!$A$36,$K$205^A79,IF(A79='Données projet'!$A$36,'Données projet'!$B$36,N78+M79-V78)))</f>
        <v>404.66666666666646</v>
      </c>
      <c r="O79" s="13">
        <f>N79*VLOOKUP('Données projet'!$B$9,Paramètres!$A$1:$I$89,3,0)*VLOOKUP('Données projet'!$B$9,Paramètres!$A$1:$I$89,5,0)</f>
        <v>252.51199999999989</v>
      </c>
      <c r="P79" s="13">
        <f t="shared" si="87"/>
        <v>61.123534450545591</v>
      </c>
      <c r="Q79" s="20">
        <f t="shared" si="54"/>
        <v>546.24855583470014</v>
      </c>
      <c r="R79" s="59">
        <f t="shared" si="55"/>
        <v>839.58188916803351</v>
      </c>
      <c r="S79" s="59">
        <f ca="1">AVERAGE(OFFSET($R$3,0,0,'Données projet'!$E$9+1,1))-AVERAGE(OFFSET($H$3,0,0,'Données projet'!$E$9+1,1))</f>
        <v>482.28841373508675</v>
      </c>
      <c r="T79" s="59">
        <f t="shared" si="88"/>
        <v>746.97309214631684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198.3616526962326</v>
      </c>
      <c r="AA79" s="21">
        <f>EXP(-LN(2)/25)*AA78+(1-EXP(-LN(2)/25))/(LN(2)/25)*Calculateur!V79*Calculateur!X79*VLOOKUP('Données projet'!$B$9,Paramètres!$A$1:$I$89,3,0)*0.475*44/12</f>
        <v>40.093763628026629</v>
      </c>
      <c r="AB79" s="21">
        <f>EXP(-LN(2)/2)*AB78+(1-EXP(-LN(2)/2))/(LN(2)/2)*V79*Y79*VLOOKUP('Données projet'!$B$9,Paramètres!$A$1:$I$89,3,0)*0.475*44/12</f>
        <v>2.7194915811168445</v>
      </c>
      <c r="AC79" s="22">
        <f t="shared" si="57"/>
        <v>241.17490790537607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16.999999999999993</v>
      </c>
      <c r="AI79" s="13">
        <f>IF('Données projet'!$A$62&gt;35,AI78+AH79-AQ78,IF(A79&lt;'Données projet'!$A$62,$AF$205^A79,IF(A79='Données projet'!$A$62,'Données projet'!$B$62,AI78+AH79-AQ78)))</f>
        <v>483.8053119999999</v>
      </c>
      <c r="AJ79" s="13">
        <f>AI79*VLOOKUP('Données projet'!$B$10,Paramètres!$A$1:$I$89,3,0)*VLOOKUP('Données projet'!$B$10,Paramètres!$A$1:$I$89,5,0)</f>
        <v>226.42088601599994</v>
      </c>
      <c r="AK79" s="13">
        <f t="shared" si="89"/>
        <v>55.508088427199198</v>
      </c>
      <c r="AL79" s="20">
        <f t="shared" si="58"/>
        <v>491.02629715523852</v>
      </c>
      <c r="AM79" s="59">
        <f t="shared" si="59"/>
        <v>784.35963048857184</v>
      </c>
      <c r="AN79" s="59">
        <f ca="1">AVERAGE(OFFSET($AM$3,0,0,'Données projet'!$E$10+1,1))-AVERAGE(OFFSET($H$3,0,0,'Données projet'!$E$10+1,1))</f>
        <v>259.91478350500478</v>
      </c>
      <c r="AO79" s="59">
        <f t="shared" si="90"/>
        <v>192.27194887051007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54.484667428533903</v>
      </c>
      <c r="AV79" s="21">
        <f>EXP(-LN(2)/25)*AV78+(1-EXP(-LN(2)/25))/(LN(2)/25)*Calculateur!AQ79*Calculateur!AS79*VLOOKUP('Données projet'!$B$10,Paramètres!$A$1:$I$89,3,0)*0.475*44/12</f>
        <v>12.561051574258144</v>
      </c>
      <c r="AW79" s="21">
        <f>EXP(-LN(2)/2)*AW78+(1-EXP(-LN(2)/2))/(LN(2)/2)*AQ79*AT79*VLOOKUP('Données projet'!$B$10,Paramètres!$A$1:$I$89,3,0)*0.475*44/12</f>
        <v>0.85713890866187559</v>
      </c>
      <c r="AX79" s="21">
        <f t="shared" si="60"/>
        <v>67.902857911453935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-2.2737367544323206E-13</v>
      </c>
      <c r="BE79" s="13">
        <f>BD79*VLOOKUP('Données projet'!$B$11,Paramètres!$A$1:$I$89,3,0)*VLOOKUP('Données projet'!$B$11,Paramètres!$A$1:$I$89,5,0)</f>
        <v>-1.3596945791505279E-13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284.60021367910457</v>
      </c>
      <c r="BJ79" s="59">
        <f t="shared" si="92"/>
        <v>301.41905904220812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161.9238516001559</v>
      </c>
      <c r="BQ79" s="21">
        <f>EXP(-LN(2)/25)*BQ78+(1-EXP(-LN(2)/25))/(LN(2)/25)*Calculateur!BL79*Calculateur!BN79*VLOOKUP('Données projet'!$B$11,Paramètres!$A$1:$I$89,3,0)*0.475*44/12</f>
        <v>34.380573543535107</v>
      </c>
      <c r="BR79" s="21">
        <f>EXP(-LN(2)/2)*BR78+(1-EXP(-LN(2)/2))/(LN(2)/2)*BL79*BO79*VLOOKUP('Données projet'!$B$11,Paramètres!$A$1:$I$89,3,0)*0.475*44/12</f>
        <v>1.1108480545701829</v>
      </c>
      <c r="BS79" s="22">
        <f t="shared" si="63"/>
        <v>197.41527319826116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-3.4106051316484809E-13</v>
      </c>
      <c r="BZ79" s="13">
        <f>BY79*VLOOKUP('Données projet'!$B$12,Paramètres!$A$1:$I$89,3,0)*VLOOKUP('Données projet'!$B$12,Paramètres!$A$1:$I$89,5,0)</f>
        <v>-1.9065282685915009E-13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490.96084572840579</v>
      </c>
      <c r="CE79" s="59">
        <f t="shared" si="94"/>
        <v>597.91658789908263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249.4535880214701</v>
      </c>
      <c r="CL79" s="21">
        <f>EXP(-LN(2)/25)*CL78+(1-EXP(-LN(2)/25))/(LN(2)/25)*Calculateur!CG79*Calculateur!CI79*VLOOKUP('Données projet'!$B$12,Paramètres!$A$1:$I$89,3,0)*0.475*44/12</f>
        <v>54.177326138424036</v>
      </c>
      <c r="CM79" s="21">
        <f>EXP(-LN(2)/2)*CM78+(1-EXP(-LN(2)/2))/(LN(2)/2)*CG79*CJ79*VLOOKUP('Données projet'!$B$12,Paramètres!$A$1:$I$89,3,0)*0.475*44/12</f>
        <v>1.4345077187719038</v>
      </c>
      <c r="CN79" s="22">
        <f t="shared" si="66"/>
        <v>305.06542187866603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10.666666666666666</v>
      </c>
      <c r="N80" s="13">
        <f>IF('Données projet'!$A$36&gt;35,N79+M80-V79,IF(A80&lt;'Données projet'!$A$36,$K$205^A80,IF(A80='Données projet'!$A$36,'Données projet'!$B$36,N79+M80-V79)))</f>
        <v>415.33333333333314</v>
      </c>
      <c r="O80" s="13">
        <f>N80*VLOOKUP('Données projet'!$B$9,Paramètres!$A$1:$I$89,3,0)*VLOOKUP('Données projet'!$B$9,Paramètres!$A$1:$I$89,5,0)</f>
        <v>259.16799999999989</v>
      </c>
      <c r="P80" s="13">
        <f t="shared" si="87"/>
        <v>62.544996109208512</v>
      </c>
      <c r="Q80" s="20">
        <f t="shared" si="54"/>
        <v>560.31680155687127</v>
      </c>
      <c r="R80" s="59">
        <f t="shared" si="55"/>
        <v>853.65013489020453</v>
      </c>
      <c r="S80" s="59">
        <f ca="1">AVERAGE(OFFSET($R$3,0,0,'Données projet'!$E$9+1,1))-AVERAGE(OFFSET($H$3,0,0,'Données projet'!$E$9+1,1))</f>
        <v>482.28841373508675</v>
      </c>
      <c r="T80" s="59">
        <f t="shared" si="88"/>
        <v>746.97309214631684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194.47190167552097</v>
      </c>
      <c r="AA80" s="21">
        <f>EXP(-LN(2)/25)*AA79+(1-EXP(-LN(2)/25))/(LN(2)/25)*Calculateur!V80*Calculateur!X80*VLOOKUP('Données projet'!$B$9,Paramètres!$A$1:$I$89,3,0)*0.475*44/12</f>
        <v>38.99739755317885</v>
      </c>
      <c r="AB80" s="21">
        <f>EXP(-LN(2)/2)*AB79+(1-EXP(-LN(2)/2))/(LN(2)/2)*V80*Y80*VLOOKUP('Données projet'!$B$9,Paramètres!$A$1:$I$89,3,0)*0.475*44/12</f>
        <v>1.9229709383874469</v>
      </c>
      <c r="AC80" s="22">
        <f t="shared" si="57"/>
        <v>235.39227016708725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16.999999999999993</v>
      </c>
      <c r="AI80" s="13">
        <f>IF('Données projet'!$A$62&gt;35,AI79+AH80-AQ79,IF(A80&lt;'Données projet'!$A$62,$AF$205^A80,IF(A80='Données projet'!$A$62,'Données projet'!$B$62,AI79+AH80-AQ79)))</f>
        <v>500.8053119999999</v>
      </c>
      <c r="AJ80" s="13">
        <f>AI80*VLOOKUP('Données projet'!$B$10,Paramètres!$A$1:$I$89,3,0)*VLOOKUP('Données projet'!$B$10,Paramètres!$A$1:$I$89,5,0)</f>
        <v>234.37688601599996</v>
      </c>
      <c r="AK80" s="13">
        <f t="shared" si="89"/>
        <v>57.228025806619982</v>
      </c>
      <c r="AL80" s="20">
        <f t="shared" si="58"/>
        <v>507.87855475772972</v>
      </c>
      <c r="AM80" s="59">
        <f t="shared" si="59"/>
        <v>801.21188809106297</v>
      </c>
      <c r="AN80" s="59">
        <f ca="1">AVERAGE(OFFSET($AM$3,0,0,'Données projet'!$E$10+1,1))-AVERAGE(OFFSET($H$3,0,0,'Données projet'!$E$10+1,1))</f>
        <v>259.91478350500478</v>
      </c>
      <c r="AO80" s="59">
        <f t="shared" si="90"/>
        <v>192.27194887051007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53.416256332626062</v>
      </c>
      <c r="AV80" s="21">
        <f>EXP(-LN(2)/25)*AV79+(1-EXP(-LN(2)/25))/(LN(2)/25)*Calculateur!AQ80*Calculateur!AS80*VLOOKUP('Données projet'!$B$10,Paramètres!$A$1:$I$89,3,0)*0.475*44/12</f>
        <v>12.217568958403062</v>
      </c>
      <c r="AW80" s="21">
        <f>EXP(-LN(2)/2)*AW79+(1-EXP(-LN(2)/2))/(LN(2)/2)*AQ80*AT80*VLOOKUP('Données projet'!$B$10,Paramètres!$A$1:$I$89,3,0)*0.475*44/12</f>
        <v>0.60608873473364899</v>
      </c>
      <c r="AX80" s="21">
        <f t="shared" si="60"/>
        <v>66.239914025762772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-2.2737367544323206E-13</v>
      </c>
      <c r="BE80" s="13">
        <f>BD80*VLOOKUP('Données projet'!$B$11,Paramètres!$A$1:$I$89,3,0)*VLOOKUP('Données projet'!$B$11,Paramètres!$A$1:$I$89,5,0)</f>
        <v>-1.3596945791505279E-13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284.60021367910457</v>
      </c>
      <c r="BJ80" s="59">
        <f t="shared" si="92"/>
        <v>301.41905904220812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158.74862363407419</v>
      </c>
      <c r="BQ80" s="21">
        <f>EXP(-LN(2)/25)*BQ79+(1-EXP(-LN(2)/25))/(LN(2)/25)*Calculateur!BL80*Calculateur!BN80*VLOOKUP('Données projet'!$B$11,Paramètres!$A$1:$I$89,3,0)*0.475*44/12</f>
        <v>33.440434951991357</v>
      </c>
      <c r="BR80" s="21">
        <f>EXP(-LN(2)/2)*BR79+(1-EXP(-LN(2)/2))/(LN(2)/2)*BL80*BO80*VLOOKUP('Données projet'!$B$11,Paramètres!$A$1:$I$89,3,0)*0.475*44/12</f>
        <v>0.78548819225446032</v>
      </c>
      <c r="BS80" s="22">
        <f t="shared" si="63"/>
        <v>192.97454677832002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-3.4106051316484809E-13</v>
      </c>
      <c r="BZ80" s="13">
        <f>BY80*VLOOKUP('Données projet'!$B$12,Paramètres!$A$1:$I$89,3,0)*VLOOKUP('Données projet'!$B$12,Paramètres!$A$1:$I$89,5,0)</f>
        <v>-1.9065282685915009E-13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490.96084572840579</v>
      </c>
      <c r="CE80" s="59">
        <f t="shared" si="94"/>
        <v>597.91658789908263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244.56195531203403</v>
      </c>
      <c r="CL80" s="21">
        <f>EXP(-LN(2)/25)*CL79+(1-EXP(-LN(2)/25))/(LN(2)/25)*Calculateur!CG80*Calculateur!CI80*VLOOKUP('Données projet'!$B$12,Paramètres!$A$1:$I$89,3,0)*0.475*44/12</f>
        <v>52.69584430610707</v>
      </c>
      <c r="CM80" s="21">
        <f>EXP(-LN(2)/2)*CM79+(1-EXP(-LN(2)/2))/(LN(2)/2)*CG80*CJ80*VLOOKUP('Données projet'!$B$12,Paramètres!$A$1:$I$89,3,0)*0.475*44/12</f>
        <v>1.014350135608058</v>
      </c>
      <c r="CN80" s="22">
        <f t="shared" si="66"/>
        <v>298.2721497537492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>
        <f>VLOOKUP(A81,'Données projet'!$A$35:$I$55,2,0)</f>
        <v>426</v>
      </c>
      <c r="L81" s="12">
        <f>VLOOKUP(A81,'Données projet'!$A$35:$I$55,9,0)</f>
        <v>10.666666666666666</v>
      </c>
      <c r="M81" s="12">
        <f t="array" ref="M81">INDEX(L:L,MIN(IF(ISNUMBER(L81:L277),ROW(L81:L277),"")))</f>
        <v>10.666666666666666</v>
      </c>
      <c r="N81" s="13">
        <f>IF('Données projet'!$A$36&gt;35,N80+M81-V80,IF(A81&lt;'Données projet'!$A$36,$K$205^A81,IF(A81='Données projet'!$A$36,'Données projet'!$B$36,N80+M81-V80)))</f>
        <v>425.99999999999983</v>
      </c>
      <c r="O81" s="13">
        <f>N81*VLOOKUP('Données projet'!$B$9,Paramètres!$A$1:$I$89,3,0)*VLOOKUP('Données projet'!$B$9,Paramètres!$A$1:$I$89,5,0)</f>
        <v>265.8239999999999</v>
      </c>
      <c r="P81" s="13">
        <f t="shared" si="87"/>
        <v>63.962214293903529</v>
      </c>
      <c r="Q81" s="20">
        <f t="shared" si="54"/>
        <v>574.37765656188174</v>
      </c>
      <c r="R81" s="59">
        <f t="shared" si="55"/>
        <v>867.71098989521511</v>
      </c>
      <c r="S81" s="59">
        <f ca="1">AVERAGE(OFFSET($R$3,0,0,'Données projet'!$E$9+1,1))-AVERAGE(OFFSET($H$3,0,0,'Données projet'!$E$9+1,1))</f>
        <v>482.28841373508675</v>
      </c>
      <c r="T81" s="59">
        <f t="shared" si="88"/>
        <v>746.97309214631684</v>
      </c>
      <c r="U81" s="15" t="str">
        <f>IF(ISNA(VLOOKUP(A81,'Données projet'!$A$35:$I$55,3,0)),0,VLOOKUP(A81,'Données projet'!$A$35:$I$55,3,0))</f>
        <v>CR</v>
      </c>
      <c r="V81" s="15">
        <f>IF(ISNA(VLOOKUP(A81,'Données projet'!$A$35:$I$55,4,0)),0,VLOOKUP(A81,'Données projet'!$A$35:$I$55,4,0))</f>
        <v>426</v>
      </c>
      <c r="W81" s="16">
        <f>IF(ISNA(VLOOKUP(A81,'Données projet'!$A$35:$I$55,5,0)),0%,VLOOKUP(A81,'Données projet'!$A$35:$I$55,5,0)*VLOOKUP('Données projet'!$B$9,Paramètres!$A$1:$I$89,7,0))</f>
        <v>0.42</v>
      </c>
      <c r="X81" s="16">
        <f>IF(ISNA(VLOOKUP(A81,'Données projet'!$A$35:$I$55,6,0)),0%,VLOOKUP(A81,'Données projet'!$A$35:$I$55,6,0)*VLOOKUP('Données projet'!$B$9,Paramètres!$A$1:$I$89,7,0))</f>
        <v>0.1008</v>
      </c>
      <c r="Y81" s="16">
        <f>IF(ISNA(VLOOKUP(A81,'Données projet'!$A$35:$I$55,7,0)),0%,VLOOKUP(A81,'Données projet'!$A$35:$I$55,7,0))</f>
        <v>0.13200000000000001</v>
      </c>
      <c r="Z81" s="21">
        <f>EXP(-LN(2)/35)*Z80+(1-EXP(-LN(2)/35))/(LN(2)/35)*V81*W81*VLOOKUP('Données projet'!$B$9,Paramètres!$A$1:$I$89,3,0)*0.475*44/12</f>
        <v>338.76414761697094</v>
      </c>
      <c r="AA81" s="21">
        <f>EXP(-LN(2)/25)*AA80+(1-EXP(-LN(2)/25))/(LN(2)/25)*Calculateur!V81*Calculateur!X81*VLOOKUP('Données projet'!$B$9,Paramètres!$A$1:$I$89,3,0)*0.475*44/12</f>
        <v>73.336429104614268</v>
      </c>
      <c r="AB81" s="21">
        <f>EXP(-LN(2)/2)*AB80+(1-EXP(-LN(2)/2))/(LN(2)/2)*V81*Y81*VLOOKUP('Données projet'!$B$9,Paramètres!$A$1:$I$89,3,0)*0.475*44/12</f>
        <v>41.088382200571559</v>
      </c>
      <c r="AC81" s="22">
        <f t="shared" si="57"/>
        <v>453.18895892215676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16.999999999999993</v>
      </c>
      <c r="AI81" s="13">
        <f>IF('Données projet'!$A$62&gt;35,AI80+AH81-AQ80,IF(A81&lt;'Données projet'!$A$62,$AF$205^A81,IF(A81='Données projet'!$A$62,'Données projet'!$B$62,AI80+AH81-AQ80)))</f>
        <v>517.80531199999984</v>
      </c>
      <c r="AJ81" s="13">
        <f>AI81*VLOOKUP('Données projet'!$B$10,Paramètres!$A$1:$I$89,3,0)*VLOOKUP('Données projet'!$B$10,Paramètres!$A$1:$I$89,5,0)</f>
        <v>242.33288601599992</v>
      </c>
      <c r="AK81" s="13">
        <f t="shared" si="89"/>
        <v>58.941179339559639</v>
      </c>
      <c r="AL81" s="20">
        <f t="shared" si="58"/>
        <v>524.71899716093287</v>
      </c>
      <c r="AM81" s="59">
        <f t="shared" si="59"/>
        <v>818.05233049426624</v>
      </c>
      <c r="AN81" s="59">
        <f ca="1">AVERAGE(OFFSET($AM$3,0,0,'Données projet'!$E$10+1,1))-AVERAGE(OFFSET($H$3,0,0,'Données projet'!$E$10+1,1))</f>
        <v>259.91478350500478</v>
      </c>
      <c r="AO81" s="59">
        <f t="shared" si="90"/>
        <v>192.27194887051007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52.36879612664255</v>
      </c>
      <c r="AV81" s="21">
        <f>EXP(-LN(2)/25)*AV80+(1-EXP(-LN(2)/25))/(LN(2)/25)*Calculateur!AQ81*Calculateur!AS81*VLOOKUP('Données projet'!$B$10,Paramètres!$A$1:$I$89,3,0)*0.475*44/12</f>
        <v>11.883478892741502</v>
      </c>
      <c r="AW81" s="21">
        <f>EXP(-LN(2)/2)*AW80+(1-EXP(-LN(2)/2))/(LN(2)/2)*AQ81*AT81*VLOOKUP('Données projet'!$B$10,Paramètres!$A$1:$I$89,3,0)*0.475*44/12</f>
        <v>0.42856945433093779</v>
      </c>
      <c r="AX81" s="21">
        <f t="shared" si="60"/>
        <v>64.680844473714998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-2.2737367544323206E-13</v>
      </c>
      <c r="BE81" s="13">
        <f>BD81*VLOOKUP('Données projet'!$B$11,Paramètres!$A$1:$I$89,3,0)*VLOOKUP('Données projet'!$B$11,Paramètres!$A$1:$I$89,5,0)</f>
        <v>-1.3596945791505279E-13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284.60021367910457</v>
      </c>
      <c r="BJ81" s="59">
        <f t="shared" si="92"/>
        <v>301.41905904220812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155.63565995170953</v>
      </c>
      <c r="BQ81" s="21">
        <f>EXP(-LN(2)/25)*BQ80+(1-EXP(-LN(2)/25))/(LN(2)/25)*Calculateur!BL81*Calculateur!BN81*VLOOKUP('Données projet'!$B$11,Paramètres!$A$1:$I$89,3,0)*0.475*44/12</f>
        <v>32.526004499673107</v>
      </c>
      <c r="BR81" s="21">
        <f>EXP(-LN(2)/2)*BR80+(1-EXP(-LN(2)/2))/(LN(2)/2)*BL81*BO81*VLOOKUP('Données projet'!$B$11,Paramètres!$A$1:$I$89,3,0)*0.475*44/12</f>
        <v>0.55542402728509144</v>
      </c>
      <c r="BS81" s="22">
        <f t="shared" si="63"/>
        <v>188.71708847866773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-3.4106051316484809E-13</v>
      </c>
      <c r="BZ81" s="13">
        <f>BY81*VLOOKUP('Données projet'!$B$12,Paramètres!$A$1:$I$89,3,0)*VLOOKUP('Données projet'!$B$12,Paramètres!$A$1:$I$89,5,0)</f>
        <v>-1.9065282685915009E-13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490.96084572840579</v>
      </c>
      <c r="CE81" s="59">
        <f t="shared" si="94"/>
        <v>597.91658789908263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239.76624453642867</v>
      </c>
      <c r="CL81" s="21">
        <f>EXP(-LN(2)/25)*CL80+(1-EXP(-LN(2)/25))/(LN(2)/25)*Calculateur!CG81*Calculateur!CI81*VLOOKUP('Données projet'!$B$12,Paramètres!$A$1:$I$89,3,0)*0.475*44/12</f>
        <v>51.25487367240256</v>
      </c>
      <c r="CM81" s="21">
        <f>EXP(-LN(2)/2)*CM80+(1-EXP(-LN(2)/2))/(LN(2)/2)*CG81*CJ81*VLOOKUP('Données projet'!$B$12,Paramètres!$A$1:$I$89,3,0)*0.475*44/12</f>
        <v>0.71725385938595188</v>
      </c>
      <c r="CN81" s="22">
        <f t="shared" si="66"/>
        <v>291.73837206821719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-1.064108801074326E-13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482.28841373508675</v>
      </c>
      <c r="T82" s="59">
        <f t="shared" si="88"/>
        <v>746.97309214631684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332.12118930792957</v>
      </c>
      <c r="AA82" s="21">
        <f>EXP(-LN(2)/25)*AA81+(1-EXP(-LN(2)/25))/(LN(2)/25)*Calculateur!V82*Calculateur!X82*VLOOKUP('Données projet'!$B$9,Paramètres!$A$1:$I$89,3,0)*0.475*44/12</f>
        <v>71.331040594153393</v>
      </c>
      <c r="AB82" s="21">
        <f>EXP(-LN(2)/2)*AB81+(1-EXP(-LN(2)/2))/(LN(2)/2)*V82*Y82*VLOOKUP('Données projet'!$B$9,Paramètres!$A$1:$I$89,3,0)*0.475*44/12</f>
        <v>29.053873682008788</v>
      </c>
      <c r="AC82" s="22">
        <f t="shared" si="57"/>
        <v>432.50610358409176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16.999999999999993</v>
      </c>
      <c r="AI82" s="13">
        <f>IF('Données projet'!$A$62&gt;35,AI81+AH82-AQ81,IF(A82&lt;'Données projet'!$A$62,$AF$205^A82,IF(A82='Données projet'!$A$62,'Données projet'!$B$62,AI81+AH82-AQ81)))</f>
        <v>534.80531199999984</v>
      </c>
      <c r="AJ82" s="13">
        <f>AI82*VLOOKUP('Données projet'!$B$10,Paramètres!$A$1:$I$89,3,0)*VLOOKUP('Données projet'!$B$10,Paramètres!$A$1:$I$89,5,0)</f>
        <v>250.28888601599994</v>
      </c>
      <c r="AK82" s="13">
        <f t="shared" si="89"/>
        <v>60.647797286246622</v>
      </c>
      <c r="AL82" s="20">
        <f t="shared" si="58"/>
        <v>541.54805675141267</v>
      </c>
      <c r="AM82" s="59">
        <f t="shared" si="59"/>
        <v>834.88139008474604</v>
      </c>
      <c r="AN82" s="59">
        <f ca="1">AVERAGE(OFFSET($AM$3,0,0,'Données projet'!$E$10+1,1))-AVERAGE(OFFSET($H$3,0,0,'Données projet'!$E$10+1,1))</f>
        <v>259.91478350500478</v>
      </c>
      <c r="AO82" s="59">
        <f t="shared" si="90"/>
        <v>192.27194887051007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51.341875976410734</v>
      </c>
      <c r="AV82" s="21">
        <f>EXP(-LN(2)/25)*AV81+(1-EXP(-LN(2)/25))/(LN(2)/25)*Calculateur!AQ82*Calculateur!AS82*VLOOKUP('Données projet'!$B$10,Paramètres!$A$1:$I$89,3,0)*0.475*44/12</f>
        <v>11.558524537494492</v>
      </c>
      <c r="AW82" s="21">
        <f>EXP(-LN(2)/2)*AW81+(1-EXP(-LN(2)/2))/(LN(2)/2)*AQ82*AT82*VLOOKUP('Données projet'!$B$10,Paramètres!$A$1:$I$89,3,0)*0.475*44/12</f>
        <v>0.3030443673668245</v>
      </c>
      <c r="AX82" s="21">
        <f t="shared" si="60"/>
        <v>63.203444881272048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-2.2737367544323206E-13</v>
      </c>
      <c r="BE82" s="13">
        <f>BD82*VLOOKUP('Données projet'!$B$11,Paramètres!$A$1:$I$89,3,0)*VLOOKUP('Données projet'!$B$11,Paramètres!$A$1:$I$89,5,0)</f>
        <v>-1.3596945791505279E-13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284.60021367910457</v>
      </c>
      <c r="BJ82" s="59">
        <f t="shared" si="92"/>
        <v>301.41905904220812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152.58373958843566</v>
      </c>
      <c r="BQ82" s="21">
        <f>EXP(-LN(2)/25)*BQ81+(1-EXP(-LN(2)/25))/(LN(2)/25)*Calculateur!BL82*Calculateur!BN82*VLOOKUP('Données projet'!$B$11,Paramètres!$A$1:$I$89,3,0)*0.475*44/12</f>
        <v>31.636579196161307</v>
      </c>
      <c r="BR82" s="21">
        <f>EXP(-LN(2)/2)*BR81+(1-EXP(-LN(2)/2))/(LN(2)/2)*BL82*BO82*VLOOKUP('Données projet'!$B$11,Paramètres!$A$1:$I$89,3,0)*0.475*44/12</f>
        <v>0.39274409612723016</v>
      </c>
      <c r="BS82" s="22">
        <f t="shared" si="63"/>
        <v>184.61306288072419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-3.4106051316484809E-13</v>
      </c>
      <c r="BZ82" s="13">
        <f>BY82*VLOOKUP('Données projet'!$B$12,Paramètres!$A$1:$I$89,3,0)*VLOOKUP('Données projet'!$B$12,Paramètres!$A$1:$I$89,5,0)</f>
        <v>-1.9065282685915009E-13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490.96084572840579</v>
      </c>
      <c r="CE82" s="59">
        <f t="shared" si="94"/>
        <v>597.91658789908263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235.06457472403818</v>
      </c>
      <c r="CL82" s="21">
        <f>EXP(-LN(2)/25)*CL81+(1-EXP(-LN(2)/25))/(LN(2)/25)*Calculateur!CG82*Calculateur!CI82*VLOOKUP('Données projet'!$B$12,Paramètres!$A$1:$I$89,3,0)*0.475*44/12</f>
        <v>49.85330645645405</v>
      </c>
      <c r="CM82" s="21">
        <f>EXP(-LN(2)/2)*CM81+(1-EXP(-LN(2)/2))/(LN(2)/2)*CG82*CJ82*VLOOKUP('Données projet'!$B$12,Paramètres!$A$1:$I$89,3,0)*0.475*44/12</f>
        <v>0.50717506780402899</v>
      </c>
      <c r="CN82" s="22">
        <f t="shared" si="66"/>
        <v>285.4250562482963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-1.064108801074326E-13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482.28841373508675</v>
      </c>
      <c r="T83" s="59">
        <f t="shared" si="88"/>
        <v>746.97309214631684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325.60849535952406</v>
      </c>
      <c r="AA83" s="21">
        <f>EXP(-LN(2)/25)*AA82+(1-EXP(-LN(2)/25))/(LN(2)/25)*Calculateur!V83*Calculateur!X83*VLOOKUP('Données projet'!$B$9,Paramètres!$A$1:$I$89,3,0)*0.475*44/12</f>
        <v>69.380489537969879</v>
      </c>
      <c r="AB83" s="21">
        <f>EXP(-LN(2)/2)*AB82+(1-EXP(-LN(2)/2))/(LN(2)/2)*V83*Y83*VLOOKUP('Données projet'!$B$9,Paramètres!$A$1:$I$89,3,0)*0.475*44/12</f>
        <v>20.544191100285783</v>
      </c>
      <c r="AC83" s="22">
        <f t="shared" si="57"/>
        <v>415.53317599777972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551.80531199999996</v>
      </c>
      <c r="AG83" s="12">
        <f>VLOOKUP(A83,'Données projet'!$A$61:$I$81,9,0)</f>
        <v>16.999999999999993</v>
      </c>
      <c r="AH83" s="12">
        <f t="array" ref="AH83">INDEX(AG:AG,MIN(IF(ISNUMBER(AG83:AG279),ROW(AG83:AG279),"")))</f>
        <v>16.999999999999993</v>
      </c>
      <c r="AI83" s="13">
        <f>IF('Données projet'!$A$62&gt;35,AI82+AH83-AQ82,IF(A83&lt;'Données projet'!$A$62,$AF$205^A83,IF(A83='Données projet'!$A$62,'Données projet'!$B$62,AI82+AH83-AQ82)))</f>
        <v>551.80531199999984</v>
      </c>
      <c r="AJ83" s="13">
        <f>AI83*VLOOKUP('Données projet'!$B$10,Paramètres!$A$1:$I$89,3,0)*VLOOKUP('Données projet'!$B$10,Paramètres!$A$1:$I$89,5,0)</f>
        <v>258.24488601599995</v>
      </c>
      <c r="AK83" s="13">
        <f t="shared" si="89"/>
        <v>62.348111227640565</v>
      </c>
      <c r="AL83" s="20">
        <f t="shared" si="58"/>
        <v>558.3661368660072</v>
      </c>
      <c r="AM83" s="59">
        <f t="shared" si="59"/>
        <v>851.69947019934057</v>
      </c>
      <c r="AN83" s="59">
        <f ca="1">AVERAGE(OFFSET($AM$3,0,0,'Données projet'!$E$10+1,1))-AVERAGE(OFFSET($H$3,0,0,'Données projet'!$E$10+1,1))</f>
        <v>259.91478350500478</v>
      </c>
      <c r="AO83" s="59">
        <f t="shared" si="90"/>
        <v>192.27194887051007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110.36106239999999</v>
      </c>
      <c r="AR83" s="16">
        <f>IF(ISNA(VLOOKUP(A83,'Données projet'!$A$61:$I$81,5,0)),0%,VLOOKUP(A83,'Données projet'!$A$61:$I$81,5,0)*VLOOKUP('Données projet'!$B$10,Paramètres!$A$1:$I$89,7,0))</f>
        <v>0.38500000000000001</v>
      </c>
      <c r="AS83" s="16">
        <f>IF(ISNA(VLOOKUP(A83,'Données projet'!$A$61:$I$81,6,0)),0%,VLOOKUP(A83,'Données projet'!$A$61:$I$81,6,0)*VLOOKUP('Données projet'!$B$10,Paramètres!$A$1:$I$89,7,0))</f>
        <v>9.240000000000001E-2</v>
      </c>
      <c r="AT83" s="16">
        <f>IF(ISNA(VLOOKUP(A83,'Données projet'!$A$61:$I$81,7,0)),0%,VLOOKUP(A83,'Données projet'!$A$61:$I$81,7,0))</f>
        <v>0.13200000000000001</v>
      </c>
      <c r="AU83" s="21">
        <f>EXP(-LN(2)/35)*AU82+(1-EXP(-LN(2)/35))/(LN(2)/35)*AQ83*AR83*VLOOKUP('Données projet'!$B$10,Paramètres!$A$1:$I$89,3,0)*0.475*44/12</f>
        <v>76.713636571230822</v>
      </c>
      <c r="AV83" s="21">
        <f>EXP(-LN(2)/25)*AV82+(1-EXP(-LN(2)/25))/(LN(2)/25)*Calculateur!AQ83*Calculateur!AS83*VLOOKUP('Données projet'!$B$10,Paramètres!$A$1:$I$89,3,0)*0.475*44/12</f>
        <v>17.54837953792951</v>
      </c>
      <c r="AW83" s="21">
        <f>EXP(-LN(2)/2)*AW82+(1-EXP(-LN(2)/2))/(LN(2)/2)*AQ83*AT83*VLOOKUP('Données projet'!$B$10,Paramètres!$A$1:$I$89,3,0)*0.475*44/12</f>
        <v>7.9334652234900664</v>
      </c>
      <c r="AX83" s="21">
        <f t="shared" si="60"/>
        <v>102.19548133265039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-2.2737367544323206E-13</v>
      </c>
      <c r="BE83" s="13">
        <f>BD83*VLOOKUP('Données projet'!$B$11,Paramètres!$A$1:$I$89,3,0)*VLOOKUP('Données projet'!$B$11,Paramètres!$A$1:$I$89,5,0)</f>
        <v>-1.3596945791505279E-13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284.60021367910457</v>
      </c>
      <c r="BJ83" s="59">
        <f t="shared" si="92"/>
        <v>301.41905904220812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149.59166552199798</v>
      </c>
      <c r="BQ83" s="21">
        <f>EXP(-LN(2)/25)*BQ82+(1-EXP(-LN(2)/25))/(LN(2)/25)*Calculateur!BL83*Calculateur!BN83*VLOOKUP('Données projet'!$B$11,Paramètres!$A$1:$I$89,3,0)*0.475*44/12</f>
        <v>30.771475274346884</v>
      </c>
      <c r="BR83" s="21">
        <f>EXP(-LN(2)/2)*BR82+(1-EXP(-LN(2)/2))/(LN(2)/2)*BL83*BO83*VLOOKUP('Données projet'!$B$11,Paramètres!$A$1:$I$89,3,0)*0.475*44/12</f>
        <v>0.27771201364254572</v>
      </c>
      <c r="BS83" s="22">
        <f t="shared" si="63"/>
        <v>180.64085280998739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-3.4106051316484809E-13</v>
      </c>
      <c r="BZ83" s="13">
        <f>BY83*VLOOKUP('Données projet'!$B$12,Paramètres!$A$1:$I$89,3,0)*VLOOKUP('Données projet'!$B$12,Paramètres!$A$1:$I$89,5,0)</f>
        <v>-1.9065282685915009E-13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490.96084572840579</v>
      </c>
      <c r="CE83" s="59">
        <f t="shared" si="94"/>
        <v>597.91658789908263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230.45510178893323</v>
      </c>
      <c r="CL83" s="21">
        <f>EXP(-LN(2)/25)*CL82+(1-EXP(-LN(2)/25))/(LN(2)/25)*Calculateur!CG83*Calculateur!CI83*VLOOKUP('Données projet'!$B$12,Paramètres!$A$1:$I$89,3,0)*0.475*44/12</f>
        <v>48.490065169730869</v>
      </c>
      <c r="CM83" s="21">
        <f>EXP(-LN(2)/2)*CM82+(1-EXP(-LN(2)/2))/(LN(2)/2)*CG83*CJ83*VLOOKUP('Données projet'!$B$12,Paramètres!$A$1:$I$89,3,0)*0.475*44/12</f>
        <v>0.35862692969297594</v>
      </c>
      <c r="CN83" s="22">
        <f t="shared" si="66"/>
        <v>279.30379388835712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-1.064108801074326E-13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482.28841373508675</v>
      </c>
      <c r="T84" s="59">
        <f t="shared" si="88"/>
        <v>746.97309214631684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319.22351136709568</v>
      </c>
      <c r="AA84" s="21">
        <f>EXP(-LN(2)/25)*AA83+(1-EXP(-LN(2)/25))/(LN(2)/25)*Calculateur!V84*Calculateur!X84*VLOOKUP('Données projet'!$B$9,Paramètres!$A$1:$I$89,3,0)*0.475*44/12</f>
        <v>67.483276402992715</v>
      </c>
      <c r="AB84" s="21">
        <f>EXP(-LN(2)/2)*AB83+(1-EXP(-LN(2)/2))/(LN(2)/2)*V84*Y84*VLOOKUP('Données projet'!$B$9,Paramètres!$A$1:$I$89,3,0)*0.475*44/12</f>
        <v>14.526936841004398</v>
      </c>
      <c r="AC84" s="22">
        <f t="shared" si="57"/>
        <v>401.23372461109278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17.499999999999993</v>
      </c>
      <c r="AI84" s="13">
        <f>IF('Données projet'!$A$62&gt;35,AI83+AH84-AQ83,IF(A84&lt;'Données projet'!$A$62,$AF$205^A84,IF(A84='Données projet'!$A$62,'Données projet'!$B$62,AI83+AH84-AQ83)))</f>
        <v>458.94424959999986</v>
      </c>
      <c r="AJ84" s="13">
        <f>AI84*VLOOKUP('Données projet'!$B$10,Paramètres!$A$1:$I$89,3,0)*VLOOKUP('Données projet'!$B$10,Paramètres!$A$1:$I$89,5,0)</f>
        <v>214.78590881279993</v>
      </c>
      <c r="AK84" s="13">
        <f t="shared" si="89"/>
        <v>52.980051626652035</v>
      </c>
      <c r="AL84" s="20">
        <f t="shared" si="58"/>
        <v>466.35904776537882</v>
      </c>
      <c r="AM84" s="59">
        <f t="shared" si="59"/>
        <v>759.69238109871208</v>
      </c>
      <c r="AN84" s="59">
        <f ca="1">AVERAGE(OFFSET($AM$3,0,0,'Données projet'!$E$10+1,1))-AVERAGE(OFFSET($H$3,0,0,'Données projet'!$E$10+1,1))</f>
        <v>259.91478350500478</v>
      </c>
      <c r="AO84" s="59">
        <f t="shared" si="90"/>
        <v>192.27194887051007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75.209328948767094</v>
      </c>
      <c r="AV84" s="21">
        <f>EXP(-LN(2)/25)*AV83+(1-EXP(-LN(2)/25))/(LN(2)/25)*Calculateur!AQ84*Calculateur!AS84*VLOOKUP('Données projet'!$B$10,Paramètres!$A$1:$I$89,3,0)*0.475*44/12</f>
        <v>17.068518176635653</v>
      </c>
      <c r="AW84" s="21">
        <f>EXP(-LN(2)/2)*AW83+(1-EXP(-LN(2)/2))/(LN(2)/2)*AQ84*AT84*VLOOKUP('Données projet'!$B$10,Paramètres!$A$1:$I$89,3,0)*0.475*44/12</f>
        <v>5.6098070578374752</v>
      </c>
      <c r="AX84" s="21">
        <f t="shared" si="60"/>
        <v>97.887654183240215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-1.3596945791505279E-13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284.60021367910457</v>
      </c>
      <c r="BJ84" s="59">
        <f t="shared" si="92"/>
        <v>301.41905904220812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146.65826420301818</v>
      </c>
      <c r="BQ84" s="21">
        <f>EXP(-LN(2)/25)*BQ83+(1-EXP(-LN(2)/25))/(LN(2)/25)*Calculateur!BL84*Calculateur!BN84*VLOOKUP('Données projet'!$B$11,Paramètres!$A$1:$I$89,3,0)*0.475*44/12</f>
        <v>29.930027664768314</v>
      </c>
      <c r="BR84" s="21">
        <f>EXP(-LN(2)/2)*BR83+(1-EXP(-LN(2)/2))/(LN(2)/2)*BL84*BO84*VLOOKUP('Données projet'!$B$11,Paramètres!$A$1:$I$89,3,0)*0.475*44/12</f>
        <v>0.19637204806361508</v>
      </c>
      <c r="BS84" s="22">
        <f t="shared" si="63"/>
        <v>176.7846639158501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-3.4106051316484809E-13</v>
      </c>
      <c r="BZ84" s="13">
        <f>BY84*VLOOKUP('Données projet'!$B$12,Paramètres!$A$1:$I$89,3,0)*VLOOKUP('Données projet'!$B$12,Paramètres!$A$1:$I$89,5,0)</f>
        <v>-1.9065282685915009E-13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490.96084572840579</v>
      </c>
      <c r="CE84" s="59">
        <f t="shared" si="94"/>
        <v>597.91658789908263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225.93601780658483</v>
      </c>
      <c r="CL84" s="21">
        <f>EXP(-LN(2)/25)*CL83+(1-EXP(-LN(2)/25))/(LN(2)/25)*Calculateur!CG84*Calculateur!CI84*VLOOKUP('Données projet'!$B$12,Paramètres!$A$1:$I$89,3,0)*0.475*44/12</f>
        <v>47.164101787682874</v>
      </c>
      <c r="CM84" s="21">
        <f>EXP(-LN(2)/2)*CM83+(1-EXP(-LN(2)/2))/(LN(2)/2)*CG84*CJ84*VLOOKUP('Données projet'!$B$12,Paramètres!$A$1:$I$89,3,0)*0.475*44/12</f>
        <v>0.25358753390201449</v>
      </c>
      <c r="CN84" s="22">
        <f t="shared" si="66"/>
        <v>273.35370712816973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-1.064108801074326E-13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482.28841373508675</v>
      </c>
      <c r="T85" s="59">
        <f t="shared" si="88"/>
        <v>746.97309214631684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312.96373301630314</v>
      </c>
      <c r="AA85" s="21">
        <f>EXP(-LN(2)/25)*AA84+(1-EXP(-LN(2)/25))/(LN(2)/25)*Calculateur!V85*Calculateur!X85*VLOOKUP('Données projet'!$B$9,Paramètres!$A$1:$I$89,3,0)*0.475*44/12</f>
        <v>65.637942660961613</v>
      </c>
      <c r="AB85" s="21">
        <f>EXP(-LN(2)/2)*AB84+(1-EXP(-LN(2)/2))/(LN(2)/2)*V85*Y85*VLOOKUP('Données projet'!$B$9,Paramètres!$A$1:$I$89,3,0)*0.475*44/12</f>
        <v>10.272095550142893</v>
      </c>
      <c r="AC85" s="22">
        <f t="shared" si="57"/>
        <v>388.8737712274077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17.499999999999993</v>
      </c>
      <c r="AI85" s="13">
        <f>IF('Données projet'!$A$62&gt;35,AI84+AH85-AQ84,IF(A85&lt;'Données projet'!$A$62,$AF$205^A85,IF(A85='Données projet'!$A$62,'Données projet'!$B$62,AI84+AH85-AQ84)))</f>
        <v>476.44424959999986</v>
      </c>
      <c r="AJ85" s="13">
        <f>AI85*VLOOKUP('Données projet'!$B$10,Paramètres!$A$1:$I$89,3,0)*VLOOKUP('Données projet'!$B$10,Paramètres!$A$1:$I$89,5,0)</f>
        <v>222.97590881279993</v>
      </c>
      <c r="AK85" s="13">
        <f t="shared" si="89"/>
        <v>54.76117814161384</v>
      </c>
      <c r="AL85" s="20">
        <f t="shared" si="58"/>
        <v>483.72542644560394</v>
      </c>
      <c r="AM85" s="59">
        <f t="shared" si="59"/>
        <v>777.0587597789372</v>
      </c>
      <c r="AN85" s="59">
        <f ca="1">AVERAGE(OFFSET($AM$3,0,0,'Données projet'!$E$10+1,1))-AVERAGE(OFFSET($H$3,0,0,'Données projet'!$E$10+1,1))</f>
        <v>259.91478350500478</v>
      </c>
      <c r="AO85" s="59">
        <f t="shared" si="90"/>
        <v>192.27194887051007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73.734519881242832</v>
      </c>
      <c r="AV85" s="21">
        <f>EXP(-LN(2)/25)*AV84+(1-EXP(-LN(2)/25))/(LN(2)/25)*Calculateur!AQ85*Calculateur!AS85*VLOOKUP('Données projet'!$B$10,Paramètres!$A$1:$I$89,3,0)*0.475*44/12</f>
        <v>16.601778649501192</v>
      </c>
      <c r="AW85" s="21">
        <f>EXP(-LN(2)/2)*AW84+(1-EXP(-LN(2)/2))/(LN(2)/2)*AQ85*AT85*VLOOKUP('Données projet'!$B$10,Paramètres!$A$1:$I$89,3,0)*0.475*44/12</f>
        <v>3.9667326117450337</v>
      </c>
      <c r="AX85" s="21">
        <f t="shared" si="60"/>
        <v>94.303031142489047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-1.3596945791505279E-13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284.60021367910457</v>
      </c>
      <c r="BJ85" s="59">
        <f t="shared" si="92"/>
        <v>301.41905904220812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143.78238509470543</v>
      </c>
      <c r="BQ85" s="21">
        <f>EXP(-LN(2)/25)*BQ84+(1-EXP(-LN(2)/25))/(LN(2)/25)*Calculateur!BL85*Calculateur!BN85*VLOOKUP('Données projet'!$B$11,Paramètres!$A$1:$I$89,3,0)*0.475*44/12</f>
        <v>29.111589484323474</v>
      </c>
      <c r="BR85" s="21">
        <f>EXP(-LN(2)/2)*BR84+(1-EXP(-LN(2)/2))/(LN(2)/2)*BL85*BO85*VLOOKUP('Données projet'!$B$11,Paramètres!$A$1:$I$89,3,0)*0.475*44/12</f>
        <v>0.13885600682127286</v>
      </c>
      <c r="BS85" s="22">
        <f t="shared" si="63"/>
        <v>173.03283058585018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-3.4106051316484809E-13</v>
      </c>
      <c r="BZ85" s="13">
        <f>BY85*VLOOKUP('Données projet'!$B$12,Paramètres!$A$1:$I$89,3,0)*VLOOKUP('Données projet'!$B$12,Paramètres!$A$1:$I$89,5,0)</f>
        <v>-1.9065282685915009E-13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490.96084572840579</v>
      </c>
      <c r="CE85" s="59">
        <f t="shared" si="94"/>
        <v>597.91658789908263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221.50555030476121</v>
      </c>
      <c r="CL85" s="21">
        <f>EXP(-LN(2)/25)*CL84+(1-EXP(-LN(2)/25))/(LN(2)/25)*Calculateur!CG85*Calculateur!CI85*VLOOKUP('Données projet'!$B$12,Paramètres!$A$1:$I$89,3,0)*0.475*44/12</f>
        <v>45.874396944046367</v>
      </c>
      <c r="CM85" s="21">
        <f>EXP(-LN(2)/2)*CM84+(1-EXP(-LN(2)/2))/(LN(2)/2)*CG85*CJ85*VLOOKUP('Données projet'!$B$12,Paramètres!$A$1:$I$89,3,0)*0.475*44/12</f>
        <v>0.17931346484648797</v>
      </c>
      <c r="CN85" s="22">
        <f t="shared" si="66"/>
        <v>267.55926071365406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-1.064108801074326E-13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482.28841373508675</v>
      </c>
      <c r="T86" s="59">
        <f t="shared" si="88"/>
        <v>746.97309214631684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306.82670510088184</v>
      </c>
      <c r="AA86" s="21">
        <f>EXP(-LN(2)/25)*AA85+(1-EXP(-LN(2)/25))/(LN(2)/25)*Calculateur!V86*Calculateur!X86*VLOOKUP('Données projet'!$B$9,Paramètres!$A$1:$I$89,3,0)*0.475*44/12</f>
        <v>63.843069667148228</v>
      </c>
      <c r="AB86" s="21">
        <f>EXP(-LN(2)/2)*AB85+(1-EXP(-LN(2)/2))/(LN(2)/2)*V86*Y86*VLOOKUP('Données projet'!$B$9,Paramètres!$A$1:$I$89,3,0)*0.475*44/12</f>
        <v>7.2634684205021998</v>
      </c>
      <c r="AC86" s="22">
        <f t="shared" si="57"/>
        <v>377.93324318853223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17.499999999999993</v>
      </c>
      <c r="AI86" s="13">
        <f>IF('Données projet'!$A$62&gt;35,AI85+AH86-AQ85,IF(A86&lt;'Données projet'!$A$62,$AF$205^A86,IF(A86='Données projet'!$A$62,'Données projet'!$B$62,AI85+AH86-AQ85)))</f>
        <v>493.94424959999986</v>
      </c>
      <c r="AJ86" s="13">
        <f>AI86*VLOOKUP('Données projet'!$B$10,Paramètres!$A$1:$I$89,3,0)*VLOOKUP('Données projet'!$B$10,Paramètres!$A$1:$I$89,5,0)</f>
        <v>231.16590881279993</v>
      </c>
      <c r="AK86" s="13">
        <f t="shared" si="89"/>
        <v>56.534704040348771</v>
      </c>
      <c r="AL86" s="20">
        <f t="shared" si="58"/>
        <v>501.07856738590061</v>
      </c>
      <c r="AM86" s="59">
        <f t="shared" si="59"/>
        <v>794.41190071923393</v>
      </c>
      <c r="AN86" s="59">
        <f ca="1">AVERAGE(OFFSET($AM$3,0,0,'Données projet'!$E$10+1,1))-AVERAGE(OFFSET($H$3,0,0,'Données projet'!$E$10+1,1))</f>
        <v>259.91478350500478</v>
      </c>
      <c r="AO86" s="59">
        <f t="shared" si="90"/>
        <v>192.27194887051007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72.288630919988009</v>
      </c>
      <c r="AV86" s="21">
        <f>EXP(-LN(2)/25)*AV85+(1-EXP(-LN(2)/25))/(LN(2)/25)*Calculateur!AQ86*Calculateur!AS86*VLOOKUP('Données projet'!$B$10,Paramètres!$A$1:$I$89,3,0)*0.475*44/12</f>
        <v>16.147802139280987</v>
      </c>
      <c r="AW86" s="21">
        <f>EXP(-LN(2)/2)*AW85+(1-EXP(-LN(2)/2))/(LN(2)/2)*AQ86*AT86*VLOOKUP('Données projet'!$B$10,Paramètres!$A$1:$I$89,3,0)*0.475*44/12</f>
        <v>2.8049035289187381</v>
      </c>
      <c r="AX86" s="21">
        <f t="shared" si="60"/>
        <v>91.241336588187735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-1.3596945791505279E-13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284.60021367910457</v>
      </c>
      <c r="BJ86" s="59">
        <f t="shared" si="92"/>
        <v>301.41905904220812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140.96290022159366</v>
      </c>
      <c r="BQ86" s="21">
        <f>EXP(-LN(2)/25)*BQ85+(1-EXP(-LN(2)/25))/(LN(2)/25)*Calculateur!BL86*Calculateur!BN86*VLOOKUP('Données projet'!$B$11,Paramètres!$A$1:$I$89,3,0)*0.475*44/12</f>
        <v>28.315531538962695</v>
      </c>
      <c r="BR86" s="21">
        <f>EXP(-LN(2)/2)*BR85+(1-EXP(-LN(2)/2))/(LN(2)/2)*BL86*BO86*VLOOKUP('Données projet'!$B$11,Paramètres!$A$1:$I$89,3,0)*0.475*44/12</f>
        <v>9.8186024031807539E-2</v>
      </c>
      <c r="BS86" s="22">
        <f t="shared" si="63"/>
        <v>169.37661778458815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-3.4106051316484809E-13</v>
      </c>
      <c r="BZ86" s="13">
        <f>BY86*VLOOKUP('Données projet'!$B$12,Paramètres!$A$1:$I$89,3,0)*VLOOKUP('Données projet'!$B$12,Paramètres!$A$1:$I$89,5,0)</f>
        <v>-1.9065282685915009E-13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490.96084572840579</v>
      </c>
      <c r="CE86" s="59">
        <f t="shared" si="94"/>
        <v>597.91658789908263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217.16196156833001</v>
      </c>
      <c r="CL86" s="21">
        <f>EXP(-LN(2)/25)*CL85+(1-EXP(-LN(2)/25))/(LN(2)/25)*Calculateur!CG86*Calculateur!CI86*VLOOKUP('Données projet'!$B$12,Paramètres!$A$1:$I$89,3,0)*0.475*44/12</f>
        <v>44.619959147181731</v>
      </c>
      <c r="CM86" s="21">
        <f>EXP(-LN(2)/2)*CM85+(1-EXP(-LN(2)/2))/(LN(2)/2)*CG86*CJ86*VLOOKUP('Données projet'!$B$12,Paramètres!$A$1:$I$89,3,0)*0.475*44/12</f>
        <v>0.12679376695100725</v>
      </c>
      <c r="CN86" s="22">
        <f t="shared" si="66"/>
        <v>261.90871448246276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-1.064108801074326E-13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482.28841373508675</v>
      </c>
      <c r="T87" s="59">
        <f t="shared" si="88"/>
        <v>746.97309214631684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300.81002055966457</v>
      </c>
      <c r="AA87" s="21">
        <f>EXP(-LN(2)/25)*AA86+(1-EXP(-LN(2)/25))/(LN(2)/25)*Calculateur!V87*Calculateur!X87*VLOOKUP('Données projet'!$B$9,Paramètres!$A$1:$I$89,3,0)*0.475*44/12</f>
        <v>62.097277569738942</v>
      </c>
      <c r="AB87" s="21">
        <f>EXP(-LN(2)/2)*AB86+(1-EXP(-LN(2)/2))/(LN(2)/2)*V87*Y87*VLOOKUP('Données projet'!$B$9,Paramètres!$A$1:$I$89,3,0)*0.475*44/12</f>
        <v>5.1360477750714475</v>
      </c>
      <c r="AC87" s="22">
        <f t="shared" si="57"/>
        <v>368.04334590447496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17.499999999999993</v>
      </c>
      <c r="AI87" s="13">
        <f>IF('Données projet'!$A$62&gt;35,AI86+AH87-AQ86,IF(A87&lt;'Données projet'!$A$62,$AF$205^A87,IF(A87='Données projet'!$A$62,'Données projet'!$B$62,AI86+AH87-AQ86)))</f>
        <v>511.44424959999986</v>
      </c>
      <c r="AJ87" s="13">
        <f>AI87*VLOOKUP('Données projet'!$B$10,Paramètres!$A$1:$I$89,3,0)*VLOOKUP('Données projet'!$B$10,Paramètres!$A$1:$I$89,5,0)</f>
        <v>239.35590881279992</v>
      </c>
      <c r="AK87" s="13">
        <f t="shared" si="89"/>
        <v>58.300929459017652</v>
      </c>
      <c r="AL87" s="20">
        <f t="shared" si="58"/>
        <v>518.41899332341563</v>
      </c>
      <c r="AM87" s="59">
        <f t="shared" si="59"/>
        <v>811.75232665674889</v>
      </c>
      <c r="AN87" s="59">
        <f ca="1">AVERAGE(OFFSET($AM$3,0,0,'Données projet'!$E$10+1,1))-AVERAGE(OFFSET($H$3,0,0,'Données projet'!$E$10+1,1))</f>
        <v>259.91478350500478</v>
      </c>
      <c r="AO87" s="59">
        <f t="shared" si="90"/>
        <v>192.27194887051007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70.871094959358217</v>
      </c>
      <c r="AV87" s="21">
        <f>EXP(-LN(2)/25)*AV86+(1-EXP(-LN(2)/25))/(LN(2)/25)*Calculateur!AQ87*Calculateur!AS87*VLOOKUP('Données projet'!$B$10,Paramètres!$A$1:$I$89,3,0)*0.475*44/12</f>
        <v>15.70623964060634</v>
      </c>
      <c r="AW87" s="21">
        <f>EXP(-LN(2)/2)*AW86+(1-EXP(-LN(2)/2))/(LN(2)/2)*AQ87*AT87*VLOOKUP('Données projet'!$B$10,Paramètres!$A$1:$I$89,3,0)*0.475*44/12</f>
        <v>1.9833663058725173</v>
      </c>
      <c r="AX87" s="21">
        <f t="shared" si="60"/>
        <v>88.560700905837081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-1.3596945791505279E-13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284.60021367910457</v>
      </c>
      <c r="BJ87" s="59">
        <f t="shared" si="92"/>
        <v>301.41905904220812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138.19870372712762</v>
      </c>
      <c r="BQ87" s="21">
        <f>EXP(-LN(2)/25)*BQ86+(1-EXP(-LN(2)/25))/(LN(2)/25)*Calculateur!BL87*Calculateur!BN87*VLOOKUP('Données projet'!$B$11,Paramètres!$A$1:$I$89,3,0)*0.475*44/12</f>
        <v>27.541241839980671</v>
      </c>
      <c r="BR87" s="21">
        <f>EXP(-LN(2)/2)*BR86+(1-EXP(-LN(2)/2))/(LN(2)/2)*BL87*BO87*VLOOKUP('Données projet'!$B$11,Paramètres!$A$1:$I$89,3,0)*0.475*44/12</f>
        <v>6.942800341063643E-2</v>
      </c>
      <c r="BS87" s="22">
        <f t="shared" si="63"/>
        <v>165.80937357051894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-3.4106051316484809E-13</v>
      </c>
      <c r="BZ87" s="13">
        <f>BY87*VLOOKUP('Données projet'!$B$12,Paramètres!$A$1:$I$89,3,0)*VLOOKUP('Données projet'!$B$12,Paramètres!$A$1:$I$89,5,0)</f>
        <v>-1.9065282685915009E-13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490.96084572840579</v>
      </c>
      <c r="CE87" s="59">
        <f t="shared" si="94"/>
        <v>597.91658789908263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212.90354795769269</v>
      </c>
      <c r="CL87" s="21">
        <f>EXP(-LN(2)/25)*CL86+(1-EXP(-LN(2)/25))/(LN(2)/25)*Calculateur!CG87*Calculateur!CI87*VLOOKUP('Données projet'!$B$12,Paramètres!$A$1:$I$89,3,0)*0.475*44/12</f>
        <v>43.399824017840373</v>
      </c>
      <c r="CM87" s="21">
        <f>EXP(-LN(2)/2)*CM86+(1-EXP(-LN(2)/2))/(LN(2)/2)*CG87*CJ87*VLOOKUP('Données projet'!$B$12,Paramètres!$A$1:$I$89,3,0)*0.475*44/12</f>
        <v>8.9656732423243984E-2</v>
      </c>
      <c r="CN87" s="22">
        <f t="shared" si="66"/>
        <v>256.39302870795632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-1.064108801074326E-13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482.28841373508675</v>
      </c>
      <c r="T88" s="59">
        <f t="shared" si="88"/>
        <v>746.97309214631684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294.91131953248532</v>
      </c>
      <c r="AA88" s="21">
        <f>EXP(-LN(2)/25)*AA87+(1-EXP(-LN(2)/25))/(LN(2)/25)*Calculateur!V88*Calculateur!X88*VLOOKUP('Données projet'!$B$9,Paramètres!$A$1:$I$89,3,0)*0.475*44/12</f>
        <v>60.399224249040529</v>
      </c>
      <c r="AB88" s="21">
        <f>EXP(-LN(2)/2)*AB87+(1-EXP(-LN(2)/2))/(LN(2)/2)*V88*Y88*VLOOKUP('Données projet'!$B$9,Paramètres!$A$1:$I$89,3,0)*0.475*44/12</f>
        <v>3.6317342102511003</v>
      </c>
      <c r="AC88" s="22">
        <f t="shared" si="57"/>
        <v>358.94227799177696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17.499999999999993</v>
      </c>
      <c r="AI88" s="13">
        <f>IF('Données projet'!$A$62&gt;35,AI87+AH88-AQ87,IF(A88&lt;'Données projet'!$A$62,$AF$205^A88,IF(A88='Données projet'!$A$62,'Données projet'!$B$62,AI87+AH88-AQ87)))</f>
        <v>528.94424959999981</v>
      </c>
      <c r="AJ88" s="13">
        <f>AI88*VLOOKUP('Données projet'!$B$10,Paramètres!$A$1:$I$89,3,0)*VLOOKUP('Données projet'!$B$10,Paramètres!$A$1:$I$89,5,0)</f>
        <v>247.54590881279992</v>
      </c>
      <c r="AK88" s="13">
        <f t="shared" si="89"/>
        <v>60.060132829307605</v>
      </c>
      <c r="AL88" s="20">
        <f t="shared" si="58"/>
        <v>535.74718919333725</v>
      </c>
      <c r="AM88" s="59">
        <f t="shared" si="59"/>
        <v>829.08052252667062</v>
      </c>
      <c r="AN88" s="59">
        <f ca="1">AVERAGE(OFFSET($AM$3,0,0,'Données projet'!$E$10+1,1))-AVERAGE(OFFSET($H$3,0,0,'Données projet'!$E$10+1,1))</f>
        <v>259.91478350500478</v>
      </c>
      <c r="AO88" s="59">
        <f t="shared" si="90"/>
        <v>192.27194887051007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69.481356014304808</v>
      </c>
      <c r="AV88" s="21">
        <f>EXP(-LN(2)/25)*AV87+(1-EXP(-LN(2)/25))/(LN(2)/25)*Calculateur!AQ88*Calculateur!AS88*VLOOKUP('Données projet'!$B$10,Paramètres!$A$1:$I$89,3,0)*0.475*44/12</f>
        <v>15.276751691678713</v>
      </c>
      <c r="AW88" s="21">
        <f>EXP(-LN(2)/2)*AW87+(1-EXP(-LN(2)/2))/(LN(2)/2)*AQ88*AT88*VLOOKUP('Données projet'!$B$10,Paramètres!$A$1:$I$89,3,0)*0.475*44/12</f>
        <v>1.4024517644593693</v>
      </c>
      <c r="AX88" s="21">
        <f t="shared" si="60"/>
        <v>86.160559470442891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-1.3596945791505279E-13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284.60021367910457</v>
      </c>
      <c r="BJ88" s="59">
        <f t="shared" si="92"/>
        <v>301.41905904220812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135.48871143992469</v>
      </c>
      <c r="BQ88" s="21">
        <f>EXP(-LN(2)/25)*BQ87+(1-EXP(-LN(2)/25))/(LN(2)/25)*Calculateur!BL88*Calculateur!BN88*VLOOKUP('Données projet'!$B$11,Paramètres!$A$1:$I$89,3,0)*0.475*44/12</f>
        <v>26.788125133535438</v>
      </c>
      <c r="BR88" s="21">
        <f>EXP(-LN(2)/2)*BR87+(1-EXP(-LN(2)/2))/(LN(2)/2)*BL88*BO88*VLOOKUP('Données projet'!$B$11,Paramètres!$A$1:$I$89,3,0)*0.475*44/12</f>
        <v>4.909301201590377E-2</v>
      </c>
      <c r="BS88" s="22">
        <f t="shared" si="63"/>
        <v>162.32592958547602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-3.4106051316484809E-13</v>
      </c>
      <c r="BZ88" s="13">
        <f>BY88*VLOOKUP('Données projet'!$B$12,Paramètres!$A$1:$I$89,3,0)*VLOOKUP('Données projet'!$B$12,Paramètres!$A$1:$I$89,5,0)</f>
        <v>-1.9065282685915009E-13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490.96084572840579</v>
      </c>
      <c r="CE88" s="59">
        <f t="shared" si="94"/>
        <v>597.91658789908263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208.72863924058416</v>
      </c>
      <c r="CL88" s="21">
        <f>EXP(-LN(2)/25)*CL87+(1-EXP(-LN(2)/25))/(LN(2)/25)*Calculateur!CG88*Calculateur!CI88*VLOOKUP('Données projet'!$B$12,Paramètres!$A$1:$I$89,3,0)*0.475*44/12</f>
        <v>42.213053547774976</v>
      </c>
      <c r="CM88" s="21">
        <f>EXP(-LN(2)/2)*CM87+(1-EXP(-LN(2)/2))/(LN(2)/2)*CG88*CJ88*VLOOKUP('Données projet'!$B$12,Paramètres!$A$1:$I$89,3,0)*0.475*44/12</f>
        <v>6.3396883475503624E-2</v>
      </c>
      <c r="CN88" s="22">
        <f t="shared" si="66"/>
        <v>251.00508967183464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-1.064108801074326E-13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482.28841373508675</v>
      </c>
      <c r="T89" s="59">
        <f t="shared" si="88"/>
        <v>746.97309214631684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289.1282884345967</v>
      </c>
      <c r="AA89" s="21">
        <f>EXP(-LN(2)/25)*AA88+(1-EXP(-LN(2)/25))/(LN(2)/25)*Calculateur!V89*Calculateur!X89*VLOOKUP('Données projet'!$B$9,Paramètres!$A$1:$I$89,3,0)*0.475*44/12</f>
        <v>58.747604285693356</v>
      </c>
      <c r="AB89" s="21">
        <f>EXP(-LN(2)/2)*AB88+(1-EXP(-LN(2)/2))/(LN(2)/2)*V89*Y89*VLOOKUP('Données projet'!$B$9,Paramètres!$A$1:$I$89,3,0)*0.475*44/12</f>
        <v>2.5680238875357237</v>
      </c>
      <c r="AC89" s="22">
        <f t="shared" si="57"/>
        <v>350.44391660782577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17.499999999999993</v>
      </c>
      <c r="AI89" s="13">
        <f>IF('Données projet'!$A$62&gt;35,AI88+AH89-AQ88,IF(A89&lt;'Données projet'!$A$62,$AF$205^A89,IF(A89='Données projet'!$A$62,'Données projet'!$B$62,AI88+AH89-AQ88)))</f>
        <v>546.44424959999981</v>
      </c>
      <c r="AJ89" s="13">
        <f>AI89*VLOOKUP('Données projet'!$B$10,Paramètres!$A$1:$I$89,3,0)*VLOOKUP('Données projet'!$B$10,Paramètres!$A$1:$I$89,5,0)</f>
        <v>255.73590881279992</v>
      </c>
      <c r="AK89" s="13">
        <f t="shared" si="89"/>
        <v>61.812573113643019</v>
      </c>
      <c r="AL89" s="20">
        <f t="shared" si="58"/>
        <v>553.06360602188818</v>
      </c>
      <c r="AM89" s="59">
        <f t="shared" si="59"/>
        <v>846.39693935522155</v>
      </c>
      <c r="AN89" s="59">
        <f ca="1">AVERAGE(OFFSET($AM$3,0,0,'Données projet'!$E$10+1,1))-AVERAGE(OFFSET($H$3,0,0,'Données projet'!$E$10+1,1))</f>
        <v>259.91478350500478</v>
      </c>
      <c r="AO89" s="59">
        <f t="shared" si="90"/>
        <v>192.27194887051007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68.118869002306838</v>
      </c>
      <c r="AV89" s="21">
        <f>EXP(-LN(2)/25)*AV88+(1-EXP(-LN(2)/25))/(LN(2)/25)*Calculateur!AQ89*Calculateur!AS89*VLOOKUP('Données projet'!$B$10,Paramètres!$A$1:$I$89,3,0)*0.475*44/12</f>
        <v>14.859008113300304</v>
      </c>
      <c r="AW89" s="21">
        <f>EXP(-LN(2)/2)*AW88+(1-EXP(-LN(2)/2))/(LN(2)/2)*AQ89*AT89*VLOOKUP('Données projet'!$B$10,Paramètres!$A$1:$I$89,3,0)*0.475*44/12</f>
        <v>0.99168315293625875</v>
      </c>
      <c r="AX89" s="21">
        <f t="shared" si="60"/>
        <v>83.969560268543404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-1.3596945791505279E-13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284.60021367910457</v>
      </c>
      <c r="BJ89" s="59">
        <f t="shared" si="92"/>
        <v>301.41905904220812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132.83186044854173</v>
      </c>
      <c r="BQ89" s="21">
        <f>EXP(-LN(2)/25)*BQ88+(1-EXP(-LN(2)/25))/(LN(2)/25)*Calculateur!BL89*Calculateur!BN89*VLOOKUP('Données projet'!$B$11,Paramètres!$A$1:$I$89,3,0)*0.475*44/12</f>
        <v>26.055602443032637</v>
      </c>
      <c r="BR89" s="21">
        <f>EXP(-LN(2)/2)*BR88+(1-EXP(-LN(2)/2))/(LN(2)/2)*BL89*BO89*VLOOKUP('Données projet'!$B$11,Paramètres!$A$1:$I$89,3,0)*0.475*44/12</f>
        <v>3.4714001705318215E-2</v>
      </c>
      <c r="BS89" s="22">
        <f t="shared" si="63"/>
        <v>158.92217689327967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-3.4106051316484809E-13</v>
      </c>
      <c r="BZ89" s="13">
        <f>BY89*VLOOKUP('Données projet'!$B$12,Paramètres!$A$1:$I$89,3,0)*VLOOKUP('Données projet'!$B$12,Paramètres!$A$1:$I$89,5,0)</f>
        <v>-1.9065282685915009E-13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490.96084572840579</v>
      </c>
      <c r="CE89" s="59">
        <f t="shared" si="94"/>
        <v>597.91658789908263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204.63559793697524</v>
      </c>
      <c r="CL89" s="21">
        <f>EXP(-LN(2)/25)*CL88+(1-EXP(-LN(2)/25))/(LN(2)/25)*Calculateur!CG89*Calculateur!CI89*VLOOKUP('Données projet'!$B$12,Paramètres!$A$1:$I$89,3,0)*0.475*44/12</f>
        <v>41.058735378623062</v>
      </c>
      <c r="CM89" s="21">
        <f>EXP(-LN(2)/2)*CM88+(1-EXP(-LN(2)/2))/(LN(2)/2)*CG89*CJ89*VLOOKUP('Données projet'!$B$12,Paramètres!$A$1:$I$89,3,0)*0.475*44/12</f>
        <v>4.4828366211621992E-2</v>
      </c>
      <c r="CN89" s="22">
        <f t="shared" si="66"/>
        <v>245.73916168180992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-1.064108801074326E-13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482.28841373508675</v>
      </c>
      <c r="T90" s="59">
        <f t="shared" si="88"/>
        <v>746.97309214631684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283.45865904923699</v>
      </c>
      <c r="AA90" s="21">
        <f>EXP(-LN(2)/25)*AA89+(1-EXP(-LN(2)/25))/(LN(2)/25)*Calculateur!V90*Calculateur!X90*VLOOKUP('Données projet'!$B$9,Paramètres!$A$1:$I$89,3,0)*0.475*44/12</f>
        <v>57.141147957098831</v>
      </c>
      <c r="AB90" s="21">
        <f>EXP(-LN(2)/2)*AB89+(1-EXP(-LN(2)/2))/(LN(2)/2)*V90*Y90*VLOOKUP('Données projet'!$B$9,Paramètres!$A$1:$I$89,3,0)*0.475*44/12</f>
        <v>1.8158671051255502</v>
      </c>
      <c r="AC90" s="22">
        <f t="shared" si="57"/>
        <v>342.41567411146139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17.499999999999993</v>
      </c>
      <c r="AI90" s="13">
        <f>IF('Données projet'!$A$62&gt;35,AI89+AH90-AQ89,IF(A90&lt;'Données projet'!$A$62,$AF$205^A90,IF(A90='Données projet'!$A$62,'Données projet'!$B$62,AI89+AH90-AQ89)))</f>
        <v>563.94424959999981</v>
      </c>
      <c r="AJ90" s="13">
        <f>AI90*VLOOKUP('Données projet'!$B$10,Paramètres!$A$1:$I$89,3,0)*VLOOKUP('Données projet'!$B$10,Paramètres!$A$1:$I$89,5,0)</f>
        <v>263.92590881279989</v>
      </c>
      <c r="AK90" s="13">
        <f t="shared" si="89"/>
        <v>63.558491746020437</v>
      </c>
      <c r="AL90" s="20">
        <f t="shared" si="58"/>
        <v>570.368664306612</v>
      </c>
      <c r="AM90" s="59">
        <f t="shared" si="59"/>
        <v>863.70199763994538</v>
      </c>
      <c r="AN90" s="59">
        <f ca="1">AVERAGE(OFFSET($AM$3,0,0,'Données projet'!$E$10+1,1))-AVERAGE(OFFSET($H$3,0,0,'Données projet'!$E$10+1,1))</f>
        <v>259.91478350500478</v>
      </c>
      <c r="AO90" s="59">
        <f t="shared" si="90"/>
        <v>192.27194887051007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66.783099529579133</v>
      </c>
      <c r="AV90" s="21">
        <f>EXP(-LN(2)/25)*AV89+(1-EXP(-LN(2)/25))/(LN(2)/25)*Calculateur!AQ90*Calculateur!AS90*VLOOKUP('Données projet'!$B$10,Paramètres!$A$1:$I$89,3,0)*0.475*44/12</f>
        <v>14.452687755040831</v>
      </c>
      <c r="AW90" s="21">
        <f>EXP(-LN(2)/2)*AW89+(1-EXP(-LN(2)/2))/(LN(2)/2)*AQ90*AT90*VLOOKUP('Données projet'!$B$10,Paramètres!$A$1:$I$89,3,0)*0.475*44/12</f>
        <v>0.70122588222968474</v>
      </c>
      <c r="AX90" s="21">
        <f t="shared" si="60"/>
        <v>81.937013166849638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-1.3596945791505279E-13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284.60021367910457</v>
      </c>
      <c r="BJ90" s="59">
        <f t="shared" si="92"/>
        <v>301.41905904220812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130.22710868458068</v>
      </c>
      <c r="BQ90" s="21">
        <f>EXP(-LN(2)/25)*BQ89+(1-EXP(-LN(2)/25))/(LN(2)/25)*Calculateur!BL90*Calculateur!BN90*VLOOKUP('Données projet'!$B$11,Paramètres!$A$1:$I$89,3,0)*0.475*44/12</f>
        <v>25.343110624023328</v>
      </c>
      <c r="BR90" s="21">
        <f>EXP(-LN(2)/2)*BR89+(1-EXP(-LN(2)/2))/(LN(2)/2)*BL90*BO90*VLOOKUP('Données projet'!$B$11,Paramètres!$A$1:$I$89,3,0)*0.475*44/12</f>
        <v>2.4546506007951885E-2</v>
      </c>
      <c r="BS90" s="22">
        <f t="shared" si="63"/>
        <v>155.59476581461197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-3.4106051316484809E-13</v>
      </c>
      <c r="BZ90" s="13">
        <f>BY90*VLOOKUP('Données projet'!$B$12,Paramètres!$A$1:$I$89,3,0)*VLOOKUP('Données projet'!$B$12,Paramètres!$A$1:$I$89,5,0)</f>
        <v>-1.9065282685915009E-13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490.96084572840579</v>
      </c>
      <c r="CE90" s="59">
        <f t="shared" si="94"/>
        <v>597.91658789908263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200.6228186768214</v>
      </c>
      <c r="CL90" s="21">
        <f>EXP(-LN(2)/25)*CL89+(1-EXP(-LN(2)/25))/(LN(2)/25)*Calculateur!CG90*Calculateur!CI90*VLOOKUP('Données projet'!$B$12,Paramètres!$A$1:$I$89,3,0)*0.475*44/12</f>
        <v>39.935982100509563</v>
      </c>
      <c r="CM90" s="21">
        <f>EXP(-LN(2)/2)*CM89+(1-EXP(-LN(2)/2))/(LN(2)/2)*CG90*CJ90*VLOOKUP('Données projet'!$B$12,Paramètres!$A$1:$I$89,3,0)*0.475*44/12</f>
        <v>3.1698441737751812E-2</v>
      </c>
      <c r="CN90" s="22">
        <f t="shared" si="66"/>
        <v>240.5904992190687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-1.064108801074326E-13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482.28841373508675</v>
      </c>
      <c r="T91" s="59">
        <f t="shared" si="88"/>
        <v>746.97309214631684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277.90020763799174</v>
      </c>
      <c r="AA91" s="21">
        <f>EXP(-LN(2)/25)*AA90+(1-EXP(-LN(2)/25))/(LN(2)/25)*Calculateur!V91*Calculateur!X91*VLOOKUP('Données projet'!$B$9,Paramètres!$A$1:$I$89,3,0)*0.475*44/12</f>
        <v>55.578620261289586</v>
      </c>
      <c r="AB91" s="21">
        <f>EXP(-LN(2)/2)*AB90+(1-EXP(-LN(2)/2))/(LN(2)/2)*V91*Y91*VLOOKUP('Données projet'!$B$9,Paramètres!$A$1:$I$89,3,0)*0.475*44/12</f>
        <v>1.2840119437678619</v>
      </c>
      <c r="AC91" s="22">
        <f t="shared" si="57"/>
        <v>334.76283984304916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17.499999999999993</v>
      </c>
      <c r="AI91" s="13">
        <f>IF('Données projet'!$A$62&gt;35,AI90+AH91-AQ90,IF(A91&lt;'Données projet'!$A$62,$AF$205^A91,IF(A91='Données projet'!$A$62,'Données projet'!$B$62,AI90+AH91-AQ90)))</f>
        <v>581.44424959999981</v>
      </c>
      <c r="AJ91" s="13">
        <f>AI91*VLOOKUP('Données projet'!$B$10,Paramètres!$A$1:$I$89,3,0)*VLOOKUP('Données projet'!$B$10,Paramètres!$A$1:$I$89,5,0)</f>
        <v>272.11590881279994</v>
      </c>
      <c r="AK91" s="13">
        <f t="shared" si="89"/>
        <v>65.298114325168072</v>
      </c>
      <c r="AL91" s="20">
        <f t="shared" si="58"/>
        <v>587.66275696529431</v>
      </c>
      <c r="AM91" s="59">
        <f t="shared" si="59"/>
        <v>880.99609029862768</v>
      </c>
      <c r="AN91" s="59">
        <f ca="1">AVERAGE(OFFSET($AM$3,0,0,'Données projet'!$E$10+1,1))-AVERAGE(OFFSET($H$3,0,0,'Données projet'!$E$10+1,1))</f>
        <v>259.91478350500478</v>
      </c>
      <c r="AO91" s="59">
        <f t="shared" si="90"/>
        <v>192.27194887051007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65.473523681472685</v>
      </c>
      <c r="AV91" s="21">
        <f>EXP(-LN(2)/25)*AV90+(1-EXP(-LN(2)/25))/(LN(2)/25)*Calculateur!AQ91*Calculateur!AS91*VLOOKUP('Données projet'!$B$10,Paramètres!$A$1:$I$89,3,0)*0.475*44/12</f>
        <v>14.057478248345422</v>
      </c>
      <c r="AW91" s="21">
        <f>EXP(-LN(2)/2)*AW90+(1-EXP(-LN(2)/2))/(LN(2)/2)*AQ91*AT91*VLOOKUP('Données projet'!$B$10,Paramètres!$A$1:$I$89,3,0)*0.475*44/12</f>
        <v>0.49584157646812949</v>
      </c>
      <c r="AX91" s="21">
        <f t="shared" si="60"/>
        <v>80.026843506286227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-1.3596945791505279E-13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284.60021367910457</v>
      </c>
      <c r="BJ91" s="59">
        <f t="shared" si="92"/>
        <v>301.41905904220812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127.67343451396923</v>
      </c>
      <c r="BQ91" s="21">
        <f>EXP(-LN(2)/25)*BQ90+(1-EXP(-LN(2)/25))/(LN(2)/25)*Calculateur!BL91*Calculateur!BN91*VLOOKUP('Données projet'!$B$11,Paramètres!$A$1:$I$89,3,0)*0.475*44/12</f>
        <v>24.650101931273145</v>
      </c>
      <c r="BR91" s="21">
        <f>EXP(-LN(2)/2)*BR90+(1-EXP(-LN(2)/2))/(LN(2)/2)*BL91*BO91*VLOOKUP('Données projet'!$B$11,Paramètres!$A$1:$I$89,3,0)*0.475*44/12</f>
        <v>1.7357000852659107E-2</v>
      </c>
      <c r="BS91" s="22">
        <f t="shared" si="63"/>
        <v>152.34089344609504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-3.4106051316484809E-13</v>
      </c>
      <c r="BZ91" s="13">
        <f>BY91*VLOOKUP('Données projet'!$B$12,Paramètres!$A$1:$I$89,3,0)*VLOOKUP('Données projet'!$B$12,Paramètres!$A$1:$I$89,5,0)</f>
        <v>-1.9065282685915009E-13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490.96084572840579</v>
      </c>
      <c r="CE91" s="59">
        <f t="shared" si="94"/>
        <v>597.91658789908263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196.68872757040549</v>
      </c>
      <c r="CL91" s="21">
        <f>EXP(-LN(2)/25)*CL90+(1-EXP(-LN(2)/25))/(LN(2)/25)*Calculateur!CG91*Calculateur!CI91*VLOOKUP('Données projet'!$B$12,Paramètres!$A$1:$I$89,3,0)*0.475*44/12</f>
        <v>38.843930569829105</v>
      </c>
      <c r="CM91" s="21">
        <f>EXP(-LN(2)/2)*CM90+(1-EXP(-LN(2)/2))/(LN(2)/2)*CG91*CJ91*VLOOKUP('Données projet'!$B$12,Paramètres!$A$1:$I$89,3,0)*0.475*44/12</f>
        <v>2.2414183105810996E-2</v>
      </c>
      <c r="CN91" s="22">
        <f t="shared" si="66"/>
        <v>235.5550723233404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-1.064108801074326E-13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482.28841373508675</v>
      </c>
      <c r="T92" s="59">
        <f t="shared" si="88"/>
        <v>746.97309214631684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272.45075406860042</v>
      </c>
      <c r="AA92" s="21">
        <f>EXP(-LN(2)/25)*AA91+(1-EXP(-LN(2)/25))/(LN(2)/25)*Calculateur!V92*Calculateur!X92*VLOOKUP('Données projet'!$B$9,Paramètres!$A$1:$I$89,3,0)*0.475*44/12</f>
        <v>54.058819967492006</v>
      </c>
      <c r="AB92" s="21">
        <f>EXP(-LN(2)/2)*AB91+(1-EXP(-LN(2)/2))/(LN(2)/2)*V92*Y92*VLOOKUP('Données projet'!$B$9,Paramètres!$A$1:$I$89,3,0)*0.475*44/12</f>
        <v>0.90793355256277508</v>
      </c>
      <c r="AC92" s="22">
        <f t="shared" si="57"/>
        <v>327.41750758865521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17.499999999999993</v>
      </c>
      <c r="AI92" s="13">
        <f>IF('Données projet'!$A$62&gt;35,AI91+AH92-AQ91,IF(A92&lt;'Données projet'!$A$62,$AF$205^A92,IF(A92='Données projet'!$A$62,'Données projet'!$B$62,AI91+AH92-AQ91)))</f>
        <v>598.94424959999981</v>
      </c>
      <c r="AJ92" s="13">
        <f>AI92*VLOOKUP('Données projet'!$B$10,Paramètres!$A$1:$I$89,3,0)*VLOOKUP('Données projet'!$B$10,Paramètres!$A$1:$I$89,5,0)</f>
        <v>280.30590881279988</v>
      </c>
      <c r="AK92" s="13">
        <f t="shared" si="89"/>
        <v>67.031652098138792</v>
      </c>
      <c r="AL92" s="20">
        <f t="shared" si="58"/>
        <v>604.94625191988484</v>
      </c>
      <c r="AM92" s="59">
        <f t="shared" si="59"/>
        <v>898.2795852532181</v>
      </c>
      <c r="AN92" s="59">
        <f ca="1">AVERAGE(OFFSET($AM$3,0,0,'Données projet'!$E$10+1,1))-AVERAGE(OFFSET($H$3,0,0,'Données projet'!$E$10+1,1))</f>
        <v>259.91478350500478</v>
      </c>
      <c r="AO92" s="59">
        <f t="shared" si="90"/>
        <v>192.27194887051007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64.189627816985208</v>
      </c>
      <c r="AV92" s="21">
        <f>EXP(-LN(2)/25)*AV91+(1-EXP(-LN(2)/25))/(LN(2)/25)*Calculateur!AQ92*Calculateur!AS92*VLOOKUP('Données projet'!$B$10,Paramètres!$A$1:$I$89,3,0)*0.475*44/12</f>
        <v>13.673075766393763</v>
      </c>
      <c r="AW92" s="21">
        <f>EXP(-LN(2)/2)*AW91+(1-EXP(-LN(2)/2))/(LN(2)/2)*AQ92*AT92*VLOOKUP('Données projet'!$B$10,Paramètres!$A$1:$I$89,3,0)*0.475*44/12</f>
        <v>0.35061294111484242</v>
      </c>
      <c r="AX92" s="21">
        <f t="shared" si="60"/>
        <v>78.21331652449382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-1.3596945791505279E-13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284.60021367910457</v>
      </c>
      <c r="BJ92" s="59">
        <f t="shared" si="92"/>
        <v>301.41905904220812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125.16983633625601</v>
      </c>
      <c r="BQ92" s="21">
        <f>EXP(-LN(2)/25)*BQ91+(1-EXP(-LN(2)/25))/(LN(2)/25)*Calculateur!BL92*Calculateur!BN92*VLOOKUP('Données projet'!$B$11,Paramètres!$A$1:$I$89,3,0)*0.475*44/12</f>
        <v>23.97604359766996</v>
      </c>
      <c r="BR92" s="21">
        <f>EXP(-LN(2)/2)*BR91+(1-EXP(-LN(2)/2))/(LN(2)/2)*BL92*BO92*VLOOKUP('Données projet'!$B$11,Paramètres!$A$1:$I$89,3,0)*0.475*44/12</f>
        <v>1.2273253003975942E-2</v>
      </c>
      <c r="BS92" s="22">
        <f t="shared" si="63"/>
        <v>149.15815318692995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-3.4106051316484809E-13</v>
      </c>
      <c r="BZ92" s="13">
        <f>BY92*VLOOKUP('Données projet'!$B$12,Paramètres!$A$1:$I$89,3,0)*VLOOKUP('Données projet'!$B$12,Paramètres!$A$1:$I$89,5,0)</f>
        <v>-1.9065282685915009E-13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490.96084572840579</v>
      </c>
      <c r="CE92" s="59">
        <f t="shared" si="94"/>
        <v>597.91658789908263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192.83178159102778</v>
      </c>
      <c r="CL92" s="21">
        <f>EXP(-LN(2)/25)*CL91+(1-EXP(-LN(2)/25))/(LN(2)/25)*Calculateur!CG92*Calculateur!CI92*VLOOKUP('Données projet'!$B$12,Paramètres!$A$1:$I$89,3,0)*0.475*44/12</f>
        <v>37.781741245683598</v>
      </c>
      <c r="CM92" s="21">
        <f>EXP(-LN(2)/2)*CM91+(1-EXP(-LN(2)/2))/(LN(2)/2)*CG92*CJ92*VLOOKUP('Données projet'!$B$12,Paramètres!$A$1:$I$89,3,0)*0.475*44/12</f>
        <v>1.5849220868875906E-2</v>
      </c>
      <c r="CN92" s="22">
        <f t="shared" si="66"/>
        <v>230.62937205758027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-1.064108801074326E-13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482.28841373508675</v>
      </c>
      <c r="T93" s="59">
        <f t="shared" si="88"/>
        <v>746.97309214631684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267.10816095986638</v>
      </c>
      <c r="AA93" s="21">
        <f>EXP(-LN(2)/25)*AA92+(1-EXP(-LN(2)/25))/(LN(2)/25)*Calculateur!V93*Calculateur!X93*VLOOKUP('Données projet'!$B$9,Paramètres!$A$1:$I$89,3,0)*0.475*44/12</f>
        <v>52.580578692651152</v>
      </c>
      <c r="AB93" s="21">
        <f>EXP(-LN(2)/2)*AB92+(1-EXP(-LN(2)/2))/(LN(2)/2)*V93*Y93*VLOOKUP('Données projet'!$B$9,Paramètres!$A$1:$I$89,3,0)*0.475*44/12</f>
        <v>0.64200597188393094</v>
      </c>
      <c r="AC93" s="22">
        <f t="shared" si="57"/>
        <v>320.33074562440146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616.44424959999992</v>
      </c>
      <c r="AG93" s="12">
        <f>VLOOKUP(A93,'Données projet'!$A$61:$I$81,9,0)</f>
        <v>17.499999999999993</v>
      </c>
      <c r="AH93" s="12">
        <f t="array" ref="AH93">INDEX(AG:AG,MIN(IF(ISNUMBER(AG93:AG289),ROW(AG93:AG289),"")))</f>
        <v>17.499999999999993</v>
      </c>
      <c r="AI93" s="13">
        <f>IF('Données projet'!$A$62&gt;35,AI92+AH93-AQ92,IF(A93&lt;'Données projet'!$A$62,$AF$205^A93,IF(A93='Données projet'!$A$62,'Données projet'!$B$62,AI92+AH93-AQ92)))</f>
        <v>616.44424959999981</v>
      </c>
      <c r="AJ93" s="13">
        <f>AI93*VLOOKUP('Données projet'!$B$10,Paramètres!$A$1:$I$89,3,0)*VLOOKUP('Données projet'!$B$10,Paramètres!$A$1:$I$89,5,0)</f>
        <v>288.49590881279994</v>
      </c>
      <c r="AK93" s="13">
        <f t="shared" si="89"/>
        <v>68.759303265639417</v>
      </c>
      <c r="AL93" s="20">
        <f t="shared" si="58"/>
        <v>622.21949436994851</v>
      </c>
      <c r="AM93" s="59">
        <f t="shared" si="59"/>
        <v>915.55282770328176</v>
      </c>
      <c r="AN93" s="59">
        <f ca="1">AVERAGE(OFFSET($AM$3,0,0,'Données projet'!$E$10+1,1))-AVERAGE(OFFSET($H$3,0,0,'Données projet'!$E$10+1,1))</f>
        <v>259.91478350500478</v>
      </c>
      <c r="AO93" s="59">
        <f t="shared" si="90"/>
        <v>192.27194887051007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123.28884991999999</v>
      </c>
      <c r="AR93" s="16">
        <f>IF(ISNA(VLOOKUP(A93,'Données projet'!$A$61:$I$81,5,0)),0%,VLOOKUP(A93,'Données projet'!$A$61:$I$81,5,0)*VLOOKUP('Données projet'!$B$10,Paramètres!$A$1:$I$89,7,0))</f>
        <v>0.38500000000000001</v>
      </c>
      <c r="AS93" s="16">
        <f>IF(ISNA(VLOOKUP(A93,'Données projet'!$A$61:$I$81,6,0)),0%,VLOOKUP(A93,'Données projet'!$A$61:$I$81,6,0)*VLOOKUP('Données projet'!$B$10,Paramètres!$A$1:$I$89,7,0))</f>
        <v>9.240000000000001E-2</v>
      </c>
      <c r="AT93" s="16">
        <f>IF(ISNA(VLOOKUP(A93,'Données projet'!$A$61:$I$81,7,0)),0%,VLOOKUP(A93,'Données projet'!$A$61:$I$81,7,0))</f>
        <v>0.13200000000000001</v>
      </c>
      <c r="AU93" s="21">
        <f>EXP(-LN(2)/35)*AU92+(1-EXP(-LN(2)/35))/(LN(2)/35)*AQ93*AR93*VLOOKUP('Données projet'!$B$10,Paramètres!$A$1:$I$89,3,0)*0.475*44/12</f>
        <v>92.399456566451789</v>
      </c>
      <c r="AV93" s="21">
        <f>EXP(-LN(2)/25)*AV92+(1-EXP(-LN(2)/25))/(LN(2)/25)*Calculateur!AQ93*Calculateur!AS93*VLOOKUP('Données projet'!$B$10,Paramètres!$A$1:$I$89,3,0)*0.475*44/12</f>
        <v>20.343789421684338</v>
      </c>
      <c r="AW93" s="21">
        <f>EXP(-LN(2)/2)*AW92+(1-EXP(-LN(2)/2))/(LN(2)/2)*AQ93*AT93*VLOOKUP('Données projet'!$B$10,Paramètres!$A$1:$I$89,3,0)*0.475*44/12</f>
        <v>8.8713325697135677</v>
      </c>
      <c r="AX93" s="21">
        <f t="shared" si="60"/>
        <v>121.6145785578497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-1.3596945791505279E-13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284.60021367910457</v>
      </c>
      <c r="BJ93" s="59">
        <f t="shared" si="92"/>
        <v>301.41905904220812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122.71533219176365</v>
      </c>
      <c r="BQ93" s="21">
        <f>EXP(-LN(2)/25)*BQ92+(1-EXP(-LN(2)/25))/(LN(2)/25)*Calculateur!BL93*Calculateur!BN93*VLOOKUP('Données projet'!$B$11,Paramètres!$A$1:$I$89,3,0)*0.475*44/12</f>
        <v>23.32041742464634</v>
      </c>
      <c r="BR93" s="21">
        <f>EXP(-LN(2)/2)*BR92+(1-EXP(-LN(2)/2))/(LN(2)/2)*BL93*BO93*VLOOKUP('Données projet'!$B$11,Paramètres!$A$1:$I$89,3,0)*0.475*44/12</f>
        <v>8.6785004263295537E-3</v>
      </c>
      <c r="BS93" s="22">
        <f t="shared" si="63"/>
        <v>146.04442811683631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-3.4106051316484809E-13</v>
      </c>
      <c r="BZ93" s="13">
        <f>BY93*VLOOKUP('Données projet'!$B$12,Paramètres!$A$1:$I$89,3,0)*VLOOKUP('Données projet'!$B$12,Paramètres!$A$1:$I$89,5,0)</f>
        <v>-1.9065282685915009E-13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490.96084572840579</v>
      </c>
      <c r="CE93" s="59">
        <f t="shared" si="94"/>
        <v>597.91658789908263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189.05046796980091</v>
      </c>
      <c r="CL93" s="21">
        <f>EXP(-LN(2)/25)*CL92+(1-EXP(-LN(2)/25))/(LN(2)/25)*Calculateur!CG93*Calculateur!CI93*VLOOKUP('Données projet'!$B$12,Paramètres!$A$1:$I$89,3,0)*0.475*44/12</f>
        <v>36.748597544464957</v>
      </c>
      <c r="CM93" s="21">
        <f>EXP(-LN(2)/2)*CM92+(1-EXP(-LN(2)/2))/(LN(2)/2)*CG93*CJ93*VLOOKUP('Données projet'!$B$12,Paramètres!$A$1:$I$89,3,0)*0.475*44/12</f>
        <v>1.1207091552905498E-2</v>
      </c>
      <c r="CN93" s="22">
        <f t="shared" si="66"/>
        <v>225.81027260581877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-1.064108801074326E-13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482.28841373508675</v>
      </c>
      <c r="T94" s="59">
        <f t="shared" si="88"/>
        <v>746.97309214631684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261.87033284333461</v>
      </c>
      <c r="AA94" s="21">
        <f>EXP(-LN(2)/25)*AA93+(1-EXP(-LN(2)/25))/(LN(2)/25)*Calculateur!V94*Calculateur!X94*VLOOKUP('Données projet'!$B$9,Paramètres!$A$1:$I$89,3,0)*0.475*44/12</f>
        <v>51.142760003208146</v>
      </c>
      <c r="AB94" s="21">
        <f>EXP(-LN(2)/2)*AB93+(1-EXP(-LN(2)/2))/(LN(2)/2)*V94*Y94*VLOOKUP('Données projet'!$B$9,Paramètres!$A$1:$I$89,3,0)*0.475*44/12</f>
        <v>0.45396677628138754</v>
      </c>
      <c r="AC94" s="22">
        <f t="shared" si="57"/>
        <v>313.46705962282414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18.5</v>
      </c>
      <c r="AI94" s="13">
        <f>IF('Données projet'!$A$62&gt;35,AI93+AH94-AQ93,IF(A94&lt;'Données projet'!$A$62,$AF$205^A94,IF(A94='Données projet'!$A$62,'Données projet'!$B$62,AI93+AH94-AQ93)))</f>
        <v>511.65539967999985</v>
      </c>
      <c r="AJ94" s="13">
        <f>AI94*VLOOKUP('Données projet'!$B$10,Paramètres!$A$1:$I$89,3,0)*VLOOKUP('Données projet'!$B$10,Paramètres!$A$1:$I$89,5,0)</f>
        <v>239.45472705023991</v>
      </c>
      <c r="AK94" s="13">
        <f t="shared" si="89"/>
        <v>58.322196824880955</v>
      </c>
      <c r="AL94" s="20">
        <f t="shared" si="58"/>
        <v>518.62814241583544</v>
      </c>
      <c r="AM94" s="59">
        <f t="shared" si="59"/>
        <v>811.96147574916881</v>
      </c>
      <c r="AN94" s="59">
        <f ca="1">AVERAGE(OFFSET($AM$3,0,0,'Données projet'!$E$10+1,1))-AVERAGE(OFFSET($H$3,0,0,'Données projet'!$E$10+1,1))</f>
        <v>259.91478350500478</v>
      </c>
      <c r="AO94" s="59">
        <f t="shared" si="90"/>
        <v>192.27194887051007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90.58755958128728</v>
      </c>
      <c r="AV94" s="21">
        <f>EXP(-LN(2)/25)*AV93+(1-EXP(-LN(2)/25))/(LN(2)/25)*Calculateur!AQ94*Calculateur!AS94*VLOOKUP('Données projet'!$B$10,Paramètres!$A$1:$I$89,3,0)*0.475*44/12</f>
        <v>19.787487430114989</v>
      </c>
      <c r="AW94" s="21">
        <f>EXP(-LN(2)/2)*AW93+(1-EXP(-LN(2)/2))/(LN(2)/2)*AQ94*AT94*VLOOKUP('Données projet'!$B$10,Paramètres!$A$1:$I$89,3,0)*0.475*44/12</f>
        <v>6.2729794182055443</v>
      </c>
      <c r="AX94" s="21">
        <f t="shared" si="60"/>
        <v>116.64802642960782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-1.3596945791505279E-13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284.60021367910457</v>
      </c>
      <c r="BJ94" s="59">
        <f t="shared" si="92"/>
        <v>301.41905904220812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120.30895937644507</v>
      </c>
      <c r="BQ94" s="21">
        <f>EXP(-LN(2)/25)*BQ93+(1-EXP(-LN(2)/25))/(LN(2)/25)*Calculateur!BL94*Calculateur!BN94*VLOOKUP('Données projet'!$B$11,Paramètres!$A$1:$I$89,3,0)*0.475*44/12</f>
        <v>22.682719383801935</v>
      </c>
      <c r="BR94" s="21">
        <f>EXP(-LN(2)/2)*BR93+(1-EXP(-LN(2)/2))/(LN(2)/2)*BL94*BO94*VLOOKUP('Données projet'!$B$11,Paramètres!$A$1:$I$89,3,0)*0.475*44/12</f>
        <v>6.1366265019879712E-3</v>
      </c>
      <c r="BS94" s="22">
        <f t="shared" si="63"/>
        <v>142.99781538674898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-3.4106051316484809E-13</v>
      </c>
      <c r="BZ94" s="13">
        <f>BY94*VLOOKUP('Données projet'!$B$12,Paramètres!$A$1:$I$89,3,0)*VLOOKUP('Données projet'!$B$12,Paramètres!$A$1:$I$89,5,0)</f>
        <v>-1.9065282685915009E-13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490.96084572840579</v>
      </c>
      <c r="CE94" s="59">
        <f t="shared" si="94"/>
        <v>597.91658789908263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185.34330360231272</v>
      </c>
      <c r="CL94" s="21">
        <f>EXP(-LN(2)/25)*CL93+(1-EXP(-LN(2)/25))/(LN(2)/25)*Calculateur!CG94*Calculateur!CI94*VLOOKUP('Données projet'!$B$12,Paramètres!$A$1:$I$89,3,0)*0.475*44/12</f>
        <v>35.743705212086809</v>
      </c>
      <c r="CM94" s="21">
        <f>EXP(-LN(2)/2)*CM93+(1-EXP(-LN(2)/2))/(LN(2)/2)*CG94*CJ94*VLOOKUP('Données projet'!$B$12,Paramètres!$A$1:$I$89,3,0)*0.475*44/12</f>
        <v>7.924610434437953E-3</v>
      </c>
      <c r="CN94" s="22">
        <f t="shared" si="66"/>
        <v>221.09493342483395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-1.064108801074326E-13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482.28841373508675</v>
      </c>
      <c r="T95" s="59">
        <f t="shared" si="88"/>
        <v>746.97309214631684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256.73521534140832</v>
      </c>
      <c r="AA95" s="21">
        <f>EXP(-LN(2)/25)*AA94+(1-EXP(-LN(2)/25))/(LN(2)/25)*Calculateur!V95*Calculateur!X95*VLOOKUP('Données projet'!$B$9,Paramètres!$A$1:$I$89,3,0)*0.475*44/12</f>
        <v>49.744258541439557</v>
      </c>
      <c r="AB95" s="21">
        <f>EXP(-LN(2)/2)*AB94+(1-EXP(-LN(2)/2))/(LN(2)/2)*V95*Y95*VLOOKUP('Données projet'!$B$9,Paramètres!$A$1:$I$89,3,0)*0.475*44/12</f>
        <v>0.32100298594196547</v>
      </c>
      <c r="AC95" s="22">
        <f t="shared" si="57"/>
        <v>306.80047686878981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18.5</v>
      </c>
      <c r="AI95" s="13">
        <f>IF('Données projet'!$A$62&gt;35,AI94+AH95-AQ94,IF(A95&lt;'Données projet'!$A$62,$AF$205^A95,IF(A95='Données projet'!$A$62,'Données projet'!$B$62,AI94+AH95-AQ94)))</f>
        <v>530.15539967999985</v>
      </c>
      <c r="AJ95" s="13">
        <f>AI95*VLOOKUP('Données projet'!$B$10,Paramètres!$A$1:$I$89,3,0)*VLOOKUP('Données projet'!$B$10,Paramètres!$A$1:$I$89,5,0)</f>
        <v>248.11272705023993</v>
      </c>
      <c r="AK95" s="13">
        <f t="shared" si="89"/>
        <v>60.181631696147214</v>
      </c>
      <c r="AL95" s="20">
        <f t="shared" si="58"/>
        <v>536.94600814995761</v>
      </c>
      <c r="AM95" s="59">
        <f t="shared" si="59"/>
        <v>830.27934148329086</v>
      </c>
      <c r="AN95" s="59">
        <f ca="1">AVERAGE(OFFSET($AM$3,0,0,'Données projet'!$E$10+1,1))-AVERAGE(OFFSET($H$3,0,0,'Données projet'!$E$10+1,1))</f>
        <v>259.91478350500478</v>
      </c>
      <c r="AO95" s="59">
        <f t="shared" si="90"/>
        <v>192.27194887051007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88.811192790853809</v>
      </c>
      <c r="AV95" s="21">
        <f>EXP(-LN(2)/25)*AV94+(1-EXP(-LN(2)/25))/(LN(2)/25)*Calculateur!AQ95*Calculateur!AS95*VLOOKUP('Données projet'!$B$10,Paramètres!$A$1:$I$89,3,0)*0.475*44/12</f>
        <v>19.246397545759756</v>
      </c>
      <c r="AW95" s="21">
        <f>EXP(-LN(2)/2)*AW94+(1-EXP(-LN(2)/2))/(LN(2)/2)*AQ95*AT95*VLOOKUP('Données projet'!$B$10,Paramètres!$A$1:$I$89,3,0)*0.475*44/12</f>
        <v>4.4356662848567847</v>
      </c>
      <c r="AX95" s="21">
        <f t="shared" si="60"/>
        <v>112.49325662147035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-1.3596945791505279E-13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284.60021367910457</v>
      </c>
      <c r="BJ95" s="59">
        <f t="shared" si="92"/>
        <v>301.41905904220812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117.94977406429241</v>
      </c>
      <c r="BQ95" s="21">
        <f>EXP(-LN(2)/25)*BQ94+(1-EXP(-LN(2)/25))/(LN(2)/25)*Calculateur!BL95*Calculateur!BN95*VLOOKUP('Données projet'!$B$11,Paramètres!$A$1:$I$89,3,0)*0.475*44/12</f>
        <v>22.062459229419499</v>
      </c>
      <c r="BR95" s="21">
        <f>EXP(-LN(2)/2)*BR94+(1-EXP(-LN(2)/2))/(LN(2)/2)*BL95*BO95*VLOOKUP('Données projet'!$B$11,Paramètres!$A$1:$I$89,3,0)*0.475*44/12</f>
        <v>4.3392502131647769E-3</v>
      </c>
      <c r="BS95" s="22">
        <f t="shared" si="63"/>
        <v>140.01657254392509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-3.4106051316484809E-13</v>
      </c>
      <c r="BZ95" s="13">
        <f>BY95*VLOOKUP('Données projet'!$B$12,Paramètres!$A$1:$I$89,3,0)*VLOOKUP('Données projet'!$B$12,Paramètres!$A$1:$I$89,5,0)</f>
        <v>-1.9065282685915009E-13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490.96084572840579</v>
      </c>
      <c r="CE95" s="59">
        <f t="shared" si="94"/>
        <v>597.91658789908263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181.70883446692397</v>
      </c>
      <c r="CL95" s="21">
        <f>EXP(-LN(2)/25)*CL94+(1-EXP(-LN(2)/25))/(LN(2)/25)*Calculateur!CG95*Calculateur!CI95*VLOOKUP('Données projet'!$B$12,Paramètres!$A$1:$I$89,3,0)*0.475*44/12</f>
        <v>34.766291713382529</v>
      </c>
      <c r="CM95" s="21">
        <f>EXP(-LN(2)/2)*CM94+(1-EXP(-LN(2)/2))/(LN(2)/2)*CG95*CJ95*VLOOKUP('Données projet'!$B$12,Paramètres!$A$1:$I$89,3,0)*0.475*44/12</f>
        <v>5.603545776452749E-3</v>
      </c>
      <c r="CN95" s="22">
        <f t="shared" si="66"/>
        <v>216.48072972608298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-1.064108801074326E-13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482.28841373508675</v>
      </c>
      <c r="T96" s="59">
        <f t="shared" si="88"/>
        <v>746.97309214631684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251.70079436158238</v>
      </c>
      <c r="AA96" s="21">
        <f>EXP(-LN(2)/25)*AA95+(1-EXP(-LN(2)/25))/(LN(2)/25)*Calculateur!V96*Calculateur!X96*VLOOKUP('Données projet'!$B$9,Paramètres!$A$1:$I$89,3,0)*0.475*44/12</f>
        <v>48.38399917568703</v>
      </c>
      <c r="AB96" s="21">
        <f>EXP(-LN(2)/2)*AB95+(1-EXP(-LN(2)/2))/(LN(2)/2)*V96*Y96*VLOOKUP('Données projet'!$B$9,Paramètres!$A$1:$I$89,3,0)*0.475*44/12</f>
        <v>0.22698338814069377</v>
      </c>
      <c r="AC96" s="22">
        <f t="shared" si="57"/>
        <v>300.31177692541013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18.5</v>
      </c>
      <c r="AI96" s="13">
        <f>IF('Données projet'!$A$62&gt;35,AI95+AH96-AQ95,IF(A96&lt;'Données projet'!$A$62,$AF$205^A96,IF(A96='Données projet'!$A$62,'Données projet'!$B$62,AI95+AH96-AQ95)))</f>
        <v>548.65539967999985</v>
      </c>
      <c r="AJ96" s="13">
        <f>AI96*VLOOKUP('Données projet'!$B$10,Paramètres!$A$1:$I$89,3,0)*VLOOKUP('Données projet'!$B$10,Paramètres!$A$1:$I$89,5,0)</f>
        <v>256.77072705023988</v>
      </c>
      <c r="AK96" s="13">
        <f t="shared" si="89"/>
        <v>62.033527564831047</v>
      </c>
      <c r="AL96" s="20">
        <f t="shared" si="58"/>
        <v>555.25074345458188</v>
      </c>
      <c r="AM96" s="59">
        <f t="shared" si="59"/>
        <v>848.58407678791514</v>
      </c>
      <c r="AN96" s="59">
        <f ca="1">AVERAGE(OFFSET($AM$3,0,0,'Données projet'!$E$10+1,1))-AVERAGE(OFFSET($H$3,0,0,'Données projet'!$E$10+1,1))</f>
        <v>259.91478350500478</v>
      </c>
      <c r="AO96" s="59">
        <f t="shared" si="90"/>
        <v>192.27194887051007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87.069659469703979</v>
      </c>
      <c r="AV96" s="21">
        <f>EXP(-LN(2)/25)*AV95+(1-EXP(-LN(2)/25))/(LN(2)/25)*Calculateur!AQ96*Calculateur!AS96*VLOOKUP('Données projet'!$B$10,Paramètres!$A$1:$I$89,3,0)*0.475*44/12</f>
        <v>18.720103792746897</v>
      </c>
      <c r="AW96" s="21">
        <f>EXP(-LN(2)/2)*AW95+(1-EXP(-LN(2)/2))/(LN(2)/2)*AQ96*AT96*VLOOKUP('Données projet'!$B$10,Paramètres!$A$1:$I$89,3,0)*0.475*44/12</f>
        <v>3.136489709102773</v>
      </c>
      <c r="AX96" s="21">
        <f t="shared" si="60"/>
        <v>108.92625297155365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-1.3596945791505279E-13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284.60021367910457</v>
      </c>
      <c r="BJ96" s="59">
        <f t="shared" si="92"/>
        <v>301.41905904220812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115.63685093715011</v>
      </c>
      <c r="BQ96" s="21">
        <f>EXP(-LN(2)/25)*BQ95+(1-EXP(-LN(2)/25))/(LN(2)/25)*Calculateur!BL96*Calculateur!BN96*VLOOKUP('Données projet'!$B$11,Paramètres!$A$1:$I$89,3,0)*0.475*44/12</f>
        <v>21.459160121576716</v>
      </c>
      <c r="BR96" s="21">
        <f>EXP(-LN(2)/2)*BR95+(1-EXP(-LN(2)/2))/(LN(2)/2)*BL96*BO96*VLOOKUP('Données projet'!$B$11,Paramètres!$A$1:$I$89,3,0)*0.475*44/12</f>
        <v>3.0683132509939856E-3</v>
      </c>
      <c r="BS96" s="22">
        <f t="shared" si="63"/>
        <v>137.09907937197784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-3.4106051316484809E-13</v>
      </c>
      <c r="BZ96" s="13">
        <f>BY96*VLOOKUP('Données projet'!$B$12,Paramètres!$A$1:$I$89,3,0)*VLOOKUP('Données projet'!$B$12,Paramètres!$A$1:$I$89,5,0)</f>
        <v>-1.9065282685915009E-13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490.96084572840579</v>
      </c>
      <c r="CE96" s="59">
        <f t="shared" si="94"/>
        <v>597.91658789908263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178.14563505447293</v>
      </c>
      <c r="CL96" s="21">
        <f>EXP(-LN(2)/25)*CL95+(1-EXP(-LN(2)/25))/(LN(2)/25)*Calculateur!CG96*Calculateur!CI96*VLOOKUP('Données projet'!$B$12,Paramètres!$A$1:$I$89,3,0)*0.475*44/12</f>
        <v>33.81560563820026</v>
      </c>
      <c r="CM96" s="21">
        <f>EXP(-LN(2)/2)*CM95+(1-EXP(-LN(2)/2))/(LN(2)/2)*CG96*CJ96*VLOOKUP('Données projet'!$B$12,Paramètres!$A$1:$I$89,3,0)*0.475*44/12</f>
        <v>3.9623052172189765E-3</v>
      </c>
      <c r="CN96" s="22">
        <f t="shared" si="66"/>
        <v>211.9652029978904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-1.064108801074326E-13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482.28841373508675</v>
      </c>
      <c r="T97" s="59">
        <f t="shared" si="88"/>
        <v>746.97309214631684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246.76509530647724</v>
      </c>
      <c r="AA97" s="21">
        <f>EXP(-LN(2)/25)*AA96+(1-EXP(-LN(2)/25))/(LN(2)/25)*Calculateur!V97*Calculateur!X97*VLOOKUP('Données projet'!$B$9,Paramètres!$A$1:$I$89,3,0)*0.475*44/12</f>
        <v>47.060936173823933</v>
      </c>
      <c r="AB97" s="21">
        <f>EXP(-LN(2)/2)*AB96+(1-EXP(-LN(2)/2))/(LN(2)/2)*V97*Y97*VLOOKUP('Données projet'!$B$9,Paramètres!$A$1:$I$89,3,0)*0.475*44/12</f>
        <v>0.16050149297098273</v>
      </c>
      <c r="AC97" s="22">
        <f t="shared" si="57"/>
        <v>293.98653297327212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18.5</v>
      </c>
      <c r="AI97" s="13">
        <f>IF('Données projet'!$A$62&gt;35,AI96+AH97-AQ96,IF(A97&lt;'Données projet'!$A$62,$AF$205^A97,IF(A97='Données projet'!$A$62,'Données projet'!$B$62,AI96+AH97-AQ96)))</f>
        <v>567.15539967999985</v>
      </c>
      <c r="AJ97" s="13">
        <f>AI97*VLOOKUP('Données projet'!$B$10,Paramètres!$A$1:$I$89,3,0)*VLOOKUP('Données projet'!$B$10,Paramètres!$A$1:$I$89,5,0)</f>
        <v>265.42872705023996</v>
      </c>
      <c r="AK97" s="13">
        <f t="shared" si="89"/>
        <v>63.878167779495556</v>
      </c>
      <c r="AL97" s="20">
        <f t="shared" si="58"/>
        <v>573.54284182845595</v>
      </c>
      <c r="AM97" s="59">
        <f t="shared" si="59"/>
        <v>866.87617516178921</v>
      </c>
      <c r="AN97" s="59">
        <f ca="1">AVERAGE(OFFSET($AM$3,0,0,'Données projet'!$E$10+1,1))-AVERAGE(OFFSET($H$3,0,0,'Données projet'!$E$10+1,1))</f>
        <v>259.91478350500478</v>
      </c>
      <c r="AO97" s="59">
        <f t="shared" si="90"/>
        <v>192.27194887051007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85.36227655475146</v>
      </c>
      <c r="AV97" s="21">
        <f>EXP(-LN(2)/25)*AV96+(1-EXP(-LN(2)/25))/(LN(2)/25)*Calculateur!AQ97*Calculateur!AS97*VLOOKUP('Données projet'!$B$10,Paramètres!$A$1:$I$89,3,0)*0.475*44/12</f>
        <v>18.208201570086761</v>
      </c>
      <c r="AW97" s="21">
        <f>EXP(-LN(2)/2)*AW96+(1-EXP(-LN(2)/2))/(LN(2)/2)*AQ97*AT97*VLOOKUP('Données projet'!$B$10,Paramètres!$A$1:$I$89,3,0)*0.475*44/12</f>
        <v>2.2178331424283928</v>
      </c>
      <c r="AX97" s="21">
        <f t="shared" si="60"/>
        <v>105.78831126726661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-1.3596945791505279E-13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284.60021367910457</v>
      </c>
      <c r="BJ97" s="59">
        <f t="shared" si="92"/>
        <v>301.41905904220812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113.36928282178727</v>
      </c>
      <c r="BQ97" s="21">
        <f>EXP(-LN(2)/25)*BQ96+(1-EXP(-LN(2)/25))/(LN(2)/25)*Calculateur!BL97*Calculateur!BN97*VLOOKUP('Données projet'!$B$11,Paramètres!$A$1:$I$89,3,0)*0.475*44/12</f>
        <v>20.872358259564017</v>
      </c>
      <c r="BR97" s="21">
        <f>EXP(-LN(2)/2)*BR96+(1-EXP(-LN(2)/2))/(LN(2)/2)*BL97*BO97*VLOOKUP('Données projet'!$B$11,Paramètres!$A$1:$I$89,3,0)*0.475*44/12</f>
        <v>2.1696251065823884E-3</v>
      </c>
      <c r="BS97" s="22">
        <f t="shared" si="63"/>
        <v>134.24381070645785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-3.4106051316484809E-13</v>
      </c>
      <c r="BZ97" s="13">
        <f>BY97*VLOOKUP('Données projet'!$B$12,Paramètres!$A$1:$I$89,3,0)*VLOOKUP('Données projet'!$B$12,Paramètres!$A$1:$I$89,5,0)</f>
        <v>-1.9065282685915009E-13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490.96084572840579</v>
      </c>
      <c r="CE97" s="59">
        <f t="shared" si="94"/>
        <v>597.91658789908263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174.65230780916301</v>
      </c>
      <c r="CL97" s="21">
        <f>EXP(-LN(2)/25)*CL96+(1-EXP(-LN(2)/25))/(LN(2)/25)*Calculateur!CG97*Calculateur!CI97*VLOOKUP('Données projet'!$B$12,Paramètres!$A$1:$I$89,3,0)*0.475*44/12</f>
        <v>32.890916123738258</v>
      </c>
      <c r="CM97" s="21">
        <f>EXP(-LN(2)/2)*CM96+(1-EXP(-LN(2)/2))/(LN(2)/2)*CG97*CJ97*VLOOKUP('Données projet'!$B$12,Paramètres!$A$1:$I$89,3,0)*0.475*44/12</f>
        <v>2.8017728882263745E-3</v>
      </c>
      <c r="CN97" s="22">
        <f t="shared" si="66"/>
        <v>207.5460257057895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-1.064108801074326E-13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482.28841373508675</v>
      </c>
      <c r="T98" s="59">
        <f t="shared" si="88"/>
        <v>746.97309214631684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241.92618229936355</v>
      </c>
      <c r="AA98" s="21">
        <f>EXP(-LN(2)/25)*AA97+(1-EXP(-LN(2)/25))/(LN(2)/25)*Calculateur!V98*Calculateur!X98*VLOOKUP('Données projet'!$B$9,Paramètres!$A$1:$I$89,3,0)*0.475*44/12</f>
        <v>45.774052399323644</v>
      </c>
      <c r="AB98" s="21">
        <f>EXP(-LN(2)/2)*AB97+(1-EXP(-LN(2)/2))/(LN(2)/2)*V98*Y98*VLOOKUP('Données projet'!$B$9,Paramètres!$A$1:$I$89,3,0)*0.475*44/12</f>
        <v>0.11349169407034689</v>
      </c>
      <c r="AC98" s="22">
        <f t="shared" si="57"/>
        <v>287.81372639275753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18.5</v>
      </c>
      <c r="AI98" s="13">
        <f>IF('Données projet'!$A$62&gt;35,AI97+AH98-AQ97,IF(A98&lt;'Données projet'!$A$62,$AF$205^A98,IF(A98='Données projet'!$A$62,'Données projet'!$B$62,AI97+AH98-AQ97)))</f>
        <v>585.65539967999985</v>
      </c>
      <c r="AJ98" s="13">
        <f>AI98*VLOOKUP('Données projet'!$B$10,Paramètres!$A$1:$I$89,3,0)*VLOOKUP('Données projet'!$B$10,Paramètres!$A$1:$I$89,5,0)</f>
        <v>274.08672705023992</v>
      </c>
      <c r="AK98" s="13">
        <f t="shared" si="89"/>
        <v>65.715816154384129</v>
      </c>
      <c r="AL98" s="20">
        <f t="shared" si="58"/>
        <v>591.82276274805349</v>
      </c>
      <c r="AM98" s="59">
        <f t="shared" si="59"/>
        <v>885.15609608138675</v>
      </c>
      <c r="AN98" s="59">
        <f ca="1">AVERAGE(OFFSET($AM$3,0,0,'Données projet'!$E$10+1,1))-AVERAGE(OFFSET($H$3,0,0,'Données projet'!$E$10+1,1))</f>
        <v>259.91478350500478</v>
      </c>
      <c r="AO98" s="59">
        <f t="shared" si="90"/>
        <v>192.27194887051007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83.688374377360404</v>
      </c>
      <c r="AV98" s="21">
        <f>EXP(-LN(2)/25)*AV97+(1-EXP(-LN(2)/25))/(LN(2)/25)*Calculateur!AQ98*Calculateur!AS98*VLOOKUP('Données projet'!$B$10,Paramètres!$A$1:$I$89,3,0)*0.475*44/12</f>
        <v>17.710297340625033</v>
      </c>
      <c r="AW98" s="21">
        <f>EXP(-LN(2)/2)*AW97+(1-EXP(-LN(2)/2))/(LN(2)/2)*AQ98*AT98*VLOOKUP('Données projet'!$B$10,Paramètres!$A$1:$I$89,3,0)*0.475*44/12</f>
        <v>1.5682448545513867</v>
      </c>
      <c r="AX98" s="21">
        <f t="shared" si="60"/>
        <v>102.96691657253682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-1.3596945791505279E-13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284.60021367910457</v>
      </c>
      <c r="BJ98" s="59">
        <f t="shared" si="92"/>
        <v>301.41905904220812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111.14618033408669</v>
      </c>
      <c r="BQ98" s="21">
        <f>EXP(-LN(2)/25)*BQ97+(1-EXP(-LN(2)/25))/(LN(2)/25)*Calculateur!BL98*Calculateur!BN98*VLOOKUP('Données projet'!$B$11,Paramètres!$A$1:$I$89,3,0)*0.475*44/12</f>
        <v>20.301602525326622</v>
      </c>
      <c r="BR98" s="21">
        <f>EXP(-LN(2)/2)*BR97+(1-EXP(-LN(2)/2))/(LN(2)/2)*BL98*BO98*VLOOKUP('Données projet'!$B$11,Paramètres!$A$1:$I$89,3,0)*0.475*44/12</f>
        <v>1.5341566254969928E-3</v>
      </c>
      <c r="BS98" s="22">
        <f t="shared" si="63"/>
        <v>131.4493170160388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-3.4106051316484809E-13</v>
      </c>
      <c r="BZ98" s="13">
        <f>BY98*VLOOKUP('Données projet'!$B$12,Paramètres!$A$1:$I$89,3,0)*VLOOKUP('Données projet'!$B$12,Paramètres!$A$1:$I$89,5,0)</f>
        <v>-1.9065282685915009E-13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490.96084572840579</v>
      </c>
      <c r="CE98" s="59">
        <f t="shared" si="94"/>
        <v>597.91658789908263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171.22748258041437</v>
      </c>
      <c r="CL98" s="21">
        <f>EXP(-LN(2)/25)*CL97+(1-EXP(-LN(2)/25))/(LN(2)/25)*Calculateur!CG98*Calculateur!CI98*VLOOKUP('Données projet'!$B$12,Paramètres!$A$1:$I$89,3,0)*0.475*44/12</f>
        <v>31.991512292676529</v>
      </c>
      <c r="CM98" s="21">
        <f>EXP(-LN(2)/2)*CM97+(1-EXP(-LN(2)/2))/(LN(2)/2)*CG98*CJ98*VLOOKUP('Données projet'!$B$12,Paramètres!$A$1:$I$89,3,0)*0.475*44/12</f>
        <v>1.9811526086094882E-3</v>
      </c>
      <c r="CN98" s="22">
        <f t="shared" si="66"/>
        <v>203.22097602569951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-1.064108801074326E-13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482.28841373508675</v>
      </c>
      <c r="T99" s="59">
        <f t="shared" si="88"/>
        <v>746.97309214631684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237.18215742487385</v>
      </c>
      <c r="AA99" s="21">
        <f>EXP(-LN(2)/25)*AA98+(1-EXP(-LN(2)/25))/(LN(2)/25)*Calculateur!V99*Calculateur!X99*VLOOKUP('Données projet'!$B$9,Paramètres!$A$1:$I$89,3,0)*0.475*44/12</f>
        <v>44.52235852931134</v>
      </c>
      <c r="AB99" s="21">
        <f>EXP(-LN(2)/2)*AB98+(1-EXP(-LN(2)/2))/(LN(2)/2)*V99*Y99*VLOOKUP('Données projet'!$B$9,Paramètres!$A$1:$I$89,3,0)*0.475*44/12</f>
        <v>8.0250746485491367E-2</v>
      </c>
      <c r="AC99" s="22">
        <f t="shared" si="57"/>
        <v>281.78476670067067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18.5</v>
      </c>
      <c r="AI99" s="13">
        <f>IF('Données projet'!$A$62&gt;35,AI98+AH99-AQ98,IF(A99&lt;'Données projet'!$A$62,$AF$205^A99,IF(A99='Données projet'!$A$62,'Données projet'!$B$62,AI98+AH99-AQ98)))</f>
        <v>604.15539967999985</v>
      </c>
      <c r="AJ99" s="13">
        <f>AI99*VLOOKUP('Données projet'!$B$10,Paramètres!$A$1:$I$89,3,0)*VLOOKUP('Données projet'!$B$10,Paramètres!$A$1:$I$89,5,0)</f>
        <v>282.74472705023993</v>
      </c>
      <c r="AK99" s="13">
        <f t="shared" si="89"/>
        <v>67.546718890199884</v>
      </c>
      <c r="AL99" s="20">
        <f t="shared" si="58"/>
        <v>610.09093501293262</v>
      </c>
      <c r="AM99" s="59">
        <f t="shared" si="59"/>
        <v>903.42426834626599</v>
      </c>
      <c r="AN99" s="59">
        <f ca="1">AVERAGE(OFFSET($AM$3,0,0,'Données projet'!$E$10+1,1))-AVERAGE(OFFSET($H$3,0,0,'Données projet'!$E$10+1,1))</f>
        <v>259.91478350500478</v>
      </c>
      <c r="AO99" s="59">
        <f t="shared" si="90"/>
        <v>192.27194887051007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82.047296400688481</v>
      </c>
      <c r="AV99" s="21">
        <f>EXP(-LN(2)/25)*AV98+(1-EXP(-LN(2)/25))/(LN(2)/25)*Calculateur!AQ99*Calculateur!AS99*VLOOKUP('Données projet'!$B$10,Paramètres!$A$1:$I$89,3,0)*0.475*44/12</f>
        <v>17.226008328501582</v>
      </c>
      <c r="AW99" s="21">
        <f>EXP(-LN(2)/2)*AW98+(1-EXP(-LN(2)/2))/(LN(2)/2)*AQ99*AT99*VLOOKUP('Données projet'!$B$10,Paramètres!$A$1:$I$89,3,0)*0.475*44/12</f>
        <v>1.1089165712141966</v>
      </c>
      <c r="AX99" s="21">
        <f t="shared" si="60"/>
        <v>100.38222130040425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-1.3596945791505279E-13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284.60021367910457</v>
      </c>
      <c r="BJ99" s="59">
        <f t="shared" si="92"/>
        <v>301.41905904220812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108.9666715302113</v>
      </c>
      <c r="BQ99" s="21">
        <f>EXP(-LN(2)/25)*BQ98+(1-EXP(-LN(2)/25))/(LN(2)/25)*Calculateur!BL99*Calculateur!BN99*VLOOKUP('Données projet'!$B$11,Paramètres!$A$1:$I$89,3,0)*0.475*44/12</f>
        <v>19.746454136656688</v>
      </c>
      <c r="BR99" s="21">
        <f>EXP(-LN(2)/2)*BR98+(1-EXP(-LN(2)/2))/(LN(2)/2)*BL99*BO99*VLOOKUP('Données projet'!$B$11,Paramètres!$A$1:$I$89,3,0)*0.475*44/12</f>
        <v>1.0848125532911942E-3</v>
      </c>
      <c r="BS99" s="22">
        <f t="shared" si="63"/>
        <v>128.7142104794213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-3.4106051316484809E-13</v>
      </c>
      <c r="BZ99" s="13">
        <f>BY99*VLOOKUP('Données projet'!$B$12,Paramètres!$A$1:$I$89,3,0)*VLOOKUP('Données projet'!$B$12,Paramètres!$A$1:$I$89,5,0)</f>
        <v>-1.9065282685915009E-13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490.96084572840579</v>
      </c>
      <c r="CE99" s="59">
        <f t="shared" si="94"/>
        <v>597.91658789908263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167.86981608546438</v>
      </c>
      <c r="CL99" s="21">
        <f>EXP(-LN(2)/25)*CL98+(1-EXP(-LN(2)/25))/(LN(2)/25)*Calculateur!CG99*Calculateur!CI99*VLOOKUP('Données projet'!$B$12,Paramètres!$A$1:$I$89,3,0)*0.475*44/12</f>
        <v>31.116702706672775</v>
      </c>
      <c r="CM99" s="21">
        <f>EXP(-LN(2)/2)*CM98+(1-EXP(-LN(2)/2))/(LN(2)/2)*CG99*CJ99*VLOOKUP('Données projet'!$B$12,Paramètres!$A$1:$I$89,3,0)*0.475*44/12</f>
        <v>1.4008864441131873E-3</v>
      </c>
      <c r="CN99" s="22">
        <f t="shared" si="66"/>
        <v>198.98791967858128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-1.064108801074326E-13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482.28841373508675</v>
      </c>
      <c r="T100" s="59">
        <f t="shared" si="88"/>
        <v>746.97309214631684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232.53115998460345</v>
      </c>
      <c r="AA100" s="21">
        <f>EXP(-LN(2)/25)*AA99+(1-EXP(-LN(2)/25))/(LN(2)/25)*Calculateur!V100*Calculateur!X100*VLOOKUP('Données projet'!$B$9,Paramètres!$A$1:$I$89,3,0)*0.475*44/12</f>
        <v>43.304892293998243</v>
      </c>
      <c r="AB100" s="21">
        <f>EXP(-LN(2)/2)*AB99+(1-EXP(-LN(2)/2))/(LN(2)/2)*V100*Y100*VLOOKUP('Données projet'!$B$9,Paramètres!$A$1:$I$89,3,0)*0.475*44/12</f>
        <v>5.6745847035173443E-2</v>
      </c>
      <c r="AC100" s="22">
        <f t="shared" si="57"/>
        <v>275.89279812563689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18.5</v>
      </c>
      <c r="AI100" s="13">
        <f>IF('Données projet'!$A$62&gt;35,AI99+AH100-AQ99,IF(A100&lt;'Données projet'!$A$62,$AF$205^A100,IF(A100='Données projet'!$A$62,'Données projet'!$B$62,AI99+AH100-AQ99)))</f>
        <v>622.65539967999985</v>
      </c>
      <c r="AJ100" s="13">
        <f>AI100*VLOOKUP('Données projet'!$B$10,Paramètres!$A$1:$I$89,3,0)*VLOOKUP('Données projet'!$B$10,Paramètres!$A$1:$I$89,5,0)</f>
        <v>291.40272705023995</v>
      </c>
      <c r="AK100" s="13">
        <f t="shared" si="89"/>
        <v>69.371106253007881</v>
      </c>
      <c r="AL100" s="20">
        <f t="shared" si="58"/>
        <v>628.3477596698234</v>
      </c>
      <c r="AM100" s="59">
        <f t="shared" si="59"/>
        <v>921.68109300315678</v>
      </c>
      <c r="AN100" s="59">
        <f ca="1">AVERAGE(OFFSET($AM$3,0,0,'Données projet'!$E$10+1,1))-AVERAGE(OFFSET($H$3,0,0,'Données projet'!$E$10+1,1))</f>
        <v>259.91478350500478</v>
      </c>
      <c r="AO100" s="59">
        <f t="shared" si="90"/>
        <v>192.27194887051007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80.438398962180358</v>
      </c>
      <c r="AV100" s="21">
        <f>EXP(-LN(2)/25)*AV99+(1-EXP(-LN(2)/25))/(LN(2)/25)*Calculateur!AQ100*Calculateur!AS100*VLOOKUP('Données projet'!$B$10,Paramètres!$A$1:$I$89,3,0)*0.475*44/12</f>
        <v>16.754962224882298</v>
      </c>
      <c r="AW100" s="21">
        <f>EXP(-LN(2)/2)*AW99+(1-EXP(-LN(2)/2))/(LN(2)/2)*AQ100*AT100*VLOOKUP('Données projet'!$B$10,Paramètres!$A$1:$I$89,3,0)*0.475*44/12</f>
        <v>0.78412242727569348</v>
      </c>
      <c r="AX100" s="21">
        <f t="shared" si="60"/>
        <v>97.977483614338354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-1.3596945791505279E-13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284.60021367910457</v>
      </c>
      <c r="BJ100" s="59">
        <f t="shared" si="92"/>
        <v>301.41905904220812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106.82990156461081</v>
      </c>
      <c r="BQ100" s="21">
        <f>EXP(-LN(2)/25)*BQ99+(1-EXP(-LN(2)/25))/(LN(2)/25)*Calculateur!BL100*Calculateur!BN100*VLOOKUP('Données projet'!$B$11,Paramètres!$A$1:$I$89,3,0)*0.475*44/12</f>
        <v>19.206486309868918</v>
      </c>
      <c r="BR100" s="21">
        <f>EXP(-LN(2)/2)*BR99+(1-EXP(-LN(2)/2))/(LN(2)/2)*BL100*BO100*VLOOKUP('Données projet'!$B$11,Paramètres!$A$1:$I$89,3,0)*0.475*44/12</f>
        <v>7.670783127484964E-4</v>
      </c>
      <c r="BS100" s="22">
        <f t="shared" si="63"/>
        <v>126.03715495279248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-3.4106051316484809E-13</v>
      </c>
      <c r="BZ100" s="13">
        <f>BY100*VLOOKUP('Données projet'!$B$12,Paramètres!$A$1:$I$89,3,0)*VLOOKUP('Données projet'!$B$12,Paramètres!$A$1:$I$89,5,0)</f>
        <v>-1.9065282685915009E-13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490.96084572840579</v>
      </c>
      <c r="CE100" s="59">
        <f t="shared" si="94"/>
        <v>597.91658789908263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164.57799138250601</v>
      </c>
      <c r="CL100" s="21">
        <f>EXP(-LN(2)/25)*CL99+(1-EXP(-LN(2)/25))/(LN(2)/25)*Calculateur!CG100*Calculateur!CI100*VLOOKUP('Données projet'!$B$12,Paramètres!$A$1:$I$89,3,0)*0.475*44/12</f>
        <v>30.26581483480253</v>
      </c>
      <c r="CM100" s="21">
        <f>EXP(-LN(2)/2)*CM99+(1-EXP(-LN(2)/2))/(LN(2)/2)*CG100*CJ100*VLOOKUP('Données projet'!$B$12,Paramètres!$A$1:$I$89,3,0)*0.475*44/12</f>
        <v>9.9057630430474412E-4</v>
      </c>
      <c r="CN100" s="22">
        <f t="shared" si="66"/>
        <v>194.84479679361286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-1.064108801074326E-13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482.28841373508675</v>
      </c>
      <c r="T101" s="59">
        <f t="shared" si="88"/>
        <v>746.97309214631684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227.97136576730841</v>
      </c>
      <c r="AA101" s="21">
        <f>EXP(-LN(2)/25)*AA100+(1-EXP(-LN(2)/25))/(LN(2)/25)*Calculateur!V101*Calculateur!X101*VLOOKUP('Données projet'!$B$9,Paramètres!$A$1:$I$89,3,0)*0.475*44/12</f>
        <v>42.120717736913548</v>
      </c>
      <c r="AB101" s="21">
        <f>EXP(-LN(2)/2)*AB100+(1-EXP(-LN(2)/2))/(LN(2)/2)*V101*Y101*VLOOKUP('Données projet'!$B$9,Paramètres!$A$1:$I$89,3,0)*0.475*44/12</f>
        <v>4.0125373242745684E-2</v>
      </c>
      <c r="AC101" s="22">
        <f t="shared" si="57"/>
        <v>270.13220887746468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18.5</v>
      </c>
      <c r="AI101" s="13">
        <f>IF('Données projet'!$A$62&gt;35,AI100+AH101-AQ100,IF(A101&lt;'Données projet'!$A$62,$AF$205^A101,IF(A101='Données projet'!$A$62,'Données projet'!$B$62,AI100+AH101-AQ100)))</f>
        <v>641.15539967999985</v>
      </c>
      <c r="AJ101" s="13">
        <f>AI101*VLOOKUP('Données projet'!$B$10,Paramètres!$A$1:$I$89,3,0)*VLOOKUP('Données projet'!$B$10,Paramètres!$A$1:$I$89,5,0)</f>
        <v>300.0607270502399</v>
      </c>
      <c r="AK101" s="13">
        <f t="shared" si="89"/>
        <v>71.189194048000331</v>
      </c>
      <c r="AL101" s="20">
        <f t="shared" si="58"/>
        <v>646.5936125794351</v>
      </c>
      <c r="AM101" s="59">
        <f t="shared" si="59"/>
        <v>939.92694591276836</v>
      </c>
      <c r="AN101" s="59">
        <f ca="1">AVERAGE(OFFSET($AM$3,0,0,'Données projet'!$E$10+1,1))-AVERAGE(OFFSET($H$3,0,0,'Données projet'!$E$10+1,1))</f>
        <v>259.91478350500478</v>
      </c>
      <c r="AO101" s="59">
        <f t="shared" si="90"/>
        <v>192.27194887051007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78.861051021110839</v>
      </c>
      <c r="AV101" s="21">
        <f>EXP(-LN(2)/25)*AV100+(1-EXP(-LN(2)/25))/(LN(2)/25)*Calculateur!AQ101*Calculateur!AS101*VLOOKUP('Données projet'!$B$10,Paramètres!$A$1:$I$89,3,0)*0.475*44/12</f>
        <v>16.296796901737721</v>
      </c>
      <c r="AW101" s="21">
        <f>EXP(-LN(2)/2)*AW100+(1-EXP(-LN(2)/2))/(LN(2)/2)*AQ101*AT101*VLOOKUP('Données projet'!$B$10,Paramètres!$A$1:$I$89,3,0)*0.475*44/12</f>
        <v>0.55445828560709831</v>
      </c>
      <c r="AX101" s="21">
        <f t="shared" si="60"/>
        <v>95.712306208455658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-1.3596945791505279E-13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284.60021367910457</v>
      </c>
      <c r="BJ101" s="59">
        <f t="shared" si="92"/>
        <v>301.41905904220812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104.73503235473474</v>
      </c>
      <c r="BQ101" s="21">
        <f>EXP(-LN(2)/25)*BQ100+(1-EXP(-LN(2)/25))/(LN(2)/25)*Calculateur!BL101*Calculateur!BN101*VLOOKUP('Données projet'!$B$11,Paramètres!$A$1:$I$89,3,0)*0.475*44/12</f>
        <v>18.681283931700335</v>
      </c>
      <c r="BR101" s="21">
        <f>EXP(-LN(2)/2)*BR100+(1-EXP(-LN(2)/2))/(LN(2)/2)*BL101*BO101*VLOOKUP('Données projet'!$B$11,Paramètres!$A$1:$I$89,3,0)*0.475*44/12</f>
        <v>5.4240627664559711E-4</v>
      </c>
      <c r="BS101" s="22">
        <f t="shared" si="63"/>
        <v>123.41685869271173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-3.4106051316484809E-13</v>
      </c>
      <c r="BZ101" s="13">
        <f>BY101*VLOOKUP('Données projet'!$B$12,Paramètres!$A$1:$I$89,3,0)*VLOOKUP('Données projet'!$B$12,Paramètres!$A$1:$I$89,5,0)</f>
        <v>-1.9065282685915009E-13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490.96084572840579</v>
      </c>
      <c r="CE101" s="59">
        <f t="shared" si="94"/>
        <v>597.91658789908263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161.35071735415784</v>
      </c>
      <c r="CL101" s="21">
        <f>EXP(-LN(2)/25)*CL100+(1-EXP(-LN(2)/25))/(LN(2)/25)*Calculateur!CG101*Calculateur!CI101*VLOOKUP('Données projet'!$B$12,Paramètres!$A$1:$I$89,3,0)*0.475*44/12</f>
        <v>29.438194536534827</v>
      </c>
      <c r="CM101" s="21">
        <f>EXP(-LN(2)/2)*CM100+(1-EXP(-LN(2)/2))/(LN(2)/2)*CG101*CJ101*VLOOKUP('Données projet'!$B$12,Paramètres!$A$1:$I$89,3,0)*0.475*44/12</f>
        <v>7.0044322205659363E-4</v>
      </c>
      <c r="CN101" s="22">
        <f t="shared" si="66"/>
        <v>190.78961233391473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-1.064108801074326E-13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482.28841373508675</v>
      </c>
      <c r="T102" s="59">
        <f t="shared" si="88"/>
        <v>746.97309214631684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223.50098633341469</v>
      </c>
      <c r="AA102" s="21">
        <f>EXP(-LN(2)/25)*AA101+(1-EXP(-LN(2)/25))/(LN(2)/25)*Calculateur!V102*Calculateur!X102*VLOOKUP('Données projet'!$B$9,Paramètres!$A$1:$I$89,3,0)*0.475*44/12</f>
        <v>40.968924495365371</v>
      </c>
      <c r="AB102" s="21">
        <f>EXP(-LN(2)/2)*AB101+(1-EXP(-LN(2)/2))/(LN(2)/2)*V102*Y102*VLOOKUP('Données projet'!$B$9,Paramètres!$A$1:$I$89,3,0)*0.475*44/12</f>
        <v>2.8372923517586721E-2</v>
      </c>
      <c r="AC102" s="22">
        <f t="shared" si="57"/>
        <v>264.4982837522976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18.5</v>
      </c>
      <c r="AI102" s="13">
        <f>IF('Données projet'!$A$62&gt;35,AI101+AH102-AQ101,IF(A102&lt;'Données projet'!$A$62,$AF$205^A102,IF(A102='Données projet'!$A$62,'Données projet'!$B$62,AI101+AH102-AQ101)))</f>
        <v>659.65539967999985</v>
      </c>
      <c r="AJ102" s="13">
        <f>AI102*VLOOKUP('Données projet'!$B$10,Paramètres!$A$1:$I$89,3,0)*VLOOKUP('Données projet'!$B$10,Paramètres!$A$1:$I$89,5,0)</f>
        <v>308.71872705023992</v>
      </c>
      <c r="AK102" s="13">
        <f t="shared" si="89"/>
        <v>73.001184918384865</v>
      </c>
      <c r="AL102" s="20">
        <f t="shared" si="58"/>
        <v>664.82884667868814</v>
      </c>
      <c r="AM102" s="59">
        <f t="shared" si="59"/>
        <v>958.16218001202151</v>
      </c>
      <c r="AN102" s="59">
        <f ca="1">AVERAGE(OFFSET($AM$3,0,0,'Données projet'!$E$10+1,1))-AVERAGE(OFFSET($H$3,0,0,'Données projet'!$E$10+1,1))</f>
        <v>259.91478350500478</v>
      </c>
      <c r="AO102" s="59">
        <f t="shared" si="90"/>
        <v>192.27194887051007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77.314633911078445</v>
      </c>
      <c r="AV102" s="21">
        <f>EXP(-LN(2)/25)*AV101+(1-EXP(-LN(2)/25))/(LN(2)/25)*Calculateur!AQ102*Calculateur!AS102*VLOOKUP('Données projet'!$B$10,Paramètres!$A$1:$I$89,3,0)*0.475*44/12</f>
        <v>15.851160133448401</v>
      </c>
      <c r="AW102" s="21">
        <f>EXP(-LN(2)/2)*AW101+(1-EXP(-LN(2)/2))/(LN(2)/2)*AQ102*AT102*VLOOKUP('Données projet'!$B$10,Paramètres!$A$1:$I$89,3,0)*0.475*44/12</f>
        <v>0.39206121363784674</v>
      </c>
      <c r="AX102" s="21">
        <f t="shared" si="60"/>
        <v>93.557855258164693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-1.3596945791505279E-13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284.60021367910457</v>
      </c>
      <c r="BJ102" s="59">
        <f t="shared" si="92"/>
        <v>301.41905904220812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102.6812422523203</v>
      </c>
      <c r="BQ102" s="21">
        <f>EXP(-LN(2)/25)*BQ101+(1-EXP(-LN(2)/25))/(LN(2)/25)*Calculateur!BL102*Calculateur!BN102*VLOOKUP('Données projet'!$B$11,Paramètres!$A$1:$I$89,3,0)*0.475*44/12</f>
        <v>18.170443240181964</v>
      </c>
      <c r="BR102" s="21">
        <f>EXP(-LN(2)/2)*BR101+(1-EXP(-LN(2)/2))/(LN(2)/2)*BL102*BO102*VLOOKUP('Données projet'!$B$11,Paramètres!$A$1:$I$89,3,0)*0.475*44/12</f>
        <v>3.835391563742482E-4</v>
      </c>
      <c r="BS102" s="22">
        <f t="shared" si="63"/>
        <v>120.85206903165864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-3.4106051316484809E-13</v>
      </c>
      <c r="BZ102" s="13">
        <f>BY102*VLOOKUP('Données projet'!$B$12,Paramètres!$A$1:$I$89,3,0)*VLOOKUP('Données projet'!$B$12,Paramètres!$A$1:$I$89,5,0)</f>
        <v>-1.9065282685915009E-13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490.96084572840579</v>
      </c>
      <c r="CE102" s="59">
        <f t="shared" si="94"/>
        <v>597.91658789908263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158.18672820106278</v>
      </c>
      <c r="CL102" s="21">
        <f>EXP(-LN(2)/25)*CL101+(1-EXP(-LN(2)/25))/(LN(2)/25)*Calculateur!CG102*Calculateur!CI102*VLOOKUP('Données projet'!$B$12,Paramètres!$A$1:$I$89,3,0)*0.475*44/12</f>
        <v>28.633205558845912</v>
      </c>
      <c r="CM102" s="21">
        <f>EXP(-LN(2)/2)*CM101+(1-EXP(-LN(2)/2))/(LN(2)/2)*CG102*CJ102*VLOOKUP('Données projet'!$B$12,Paramètres!$A$1:$I$89,3,0)*0.475*44/12</f>
        <v>4.9528815215237206E-4</v>
      </c>
      <c r="CN102" s="22">
        <f t="shared" si="66"/>
        <v>186.82042904806084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-1.064108801074326E-13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482.28841373508675</v>
      </c>
      <c r="T103" s="59">
        <f t="shared" si="88"/>
        <v>746.97309214631684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219.11826831355739</v>
      </c>
      <c r="AA103" s="21">
        <f>EXP(-LN(2)/25)*AA102+(1-EXP(-LN(2)/25))/(LN(2)/25)*Calculateur!V103*Calculateur!X103*VLOOKUP('Données projet'!$B$9,Paramètres!$A$1:$I$89,3,0)*0.475*44/12</f>
        <v>39.848627100577502</v>
      </c>
      <c r="AB103" s="21">
        <f>EXP(-LN(2)/2)*AB102+(1-EXP(-LN(2)/2))/(LN(2)/2)*V103*Y103*VLOOKUP('Données projet'!$B$9,Paramètres!$A$1:$I$89,3,0)*0.475*44/12</f>
        <v>2.0062686621372842E-2</v>
      </c>
      <c r="AC103" s="22">
        <f t="shared" si="57"/>
        <v>258.98695810075628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678.15539967999996</v>
      </c>
      <c r="AG103" s="12">
        <f>VLOOKUP(A103,'Données projet'!$A$61:$I$81,9,0)</f>
        <v>18.5</v>
      </c>
      <c r="AH103" s="12">
        <f t="array" ref="AH103">INDEX(AG:AG,MIN(IF(ISNUMBER(AG103:AG299),ROW(AG103:AG299),"")))</f>
        <v>18.5</v>
      </c>
      <c r="AI103" s="13">
        <f>IF('Données projet'!$A$62&gt;35,AI102+AH103-AQ102,IF(A103&lt;'Données projet'!$A$62,$AF$205^A103,IF(A103='Données projet'!$A$62,'Données projet'!$B$62,AI102+AH103-AQ102)))</f>
        <v>678.15539967999985</v>
      </c>
      <c r="AJ103" s="13">
        <f>AI103*VLOOKUP('Données projet'!$B$10,Paramètres!$A$1:$I$89,3,0)*VLOOKUP('Données projet'!$B$10,Paramètres!$A$1:$I$89,5,0)</f>
        <v>317.37672705023994</v>
      </c>
      <c r="AK103" s="13">
        <f t="shared" si="89"/>
        <v>74.807269494466624</v>
      </c>
      <c r="AL103" s="20">
        <f t="shared" si="58"/>
        <v>683.05379398203058</v>
      </c>
      <c r="AM103" s="59">
        <f t="shared" si="59"/>
        <v>976.38712731536384</v>
      </c>
      <c r="AN103" s="59">
        <f ca="1">AVERAGE(OFFSET($AM$3,0,0,'Données projet'!$E$10+1,1))-AVERAGE(OFFSET($H$3,0,0,'Données projet'!$E$10+1,1))</f>
        <v>259.91478350500478</v>
      </c>
      <c r="AO103" s="59">
        <f t="shared" si="90"/>
        <v>192.27194887051007</v>
      </c>
      <c r="AP103" s="15" t="str">
        <f>IF(ISNA(VLOOKUP(A103,'Données projet'!$A$61:$I$81,3,0)),0,VLOOKUP(A103,'Données projet'!$A$61:$I$81,3,0))</f>
        <v>CR</v>
      </c>
      <c r="AQ103" s="15">
        <f>IF(ISNA(VLOOKUP(A103,'Données projet'!$A$61:$I$81,4,0)),0,VLOOKUP(A103,'Données projet'!$A$61:$I$81,4,0))</f>
        <v>678.15539967999996</v>
      </c>
      <c r="AR103" s="16">
        <f>IF(ISNA(VLOOKUP(A103,'Données projet'!$A$61:$I$81,5,0)),0%,VLOOKUP(A103,'Données projet'!$A$61:$I$81,5,0)*VLOOKUP('Données projet'!$B$10,Paramètres!$A$1:$I$89,7,0))</f>
        <v>0.38500000000000001</v>
      </c>
      <c r="AS103" s="16">
        <f>IF(ISNA(VLOOKUP(A103,'Données projet'!$A$61:$I$81,6,0)),0%,VLOOKUP(A103,'Données projet'!$A$61:$I$81,6,0)*VLOOKUP('Données projet'!$B$10,Paramètres!$A$1:$I$89,7,0))</f>
        <v>9.240000000000001E-2</v>
      </c>
      <c r="AT103" s="16">
        <f>IF(ISNA(VLOOKUP(A103,'Données projet'!$A$61:$I$81,7,0)),0%,VLOOKUP(A103,'Données projet'!$A$61:$I$81,7,0))</f>
        <v>0.13200000000000001</v>
      </c>
      <c r="AU103" s="21">
        <f>EXP(-LN(2)/35)*AU102+(1-EXP(-LN(2)/35))/(LN(2)/35)*AQ103*AR103*VLOOKUP('Données projet'!$B$10,Paramètres!$A$1:$I$89,3,0)*0.475*44/12</f>
        <v>237.89150485645774</v>
      </c>
      <c r="AV103" s="21">
        <f>EXP(-LN(2)/25)*AV102+(1-EXP(-LN(2)/25))/(LN(2)/25)*Calculateur!AQ103*Calculateur!AS103*VLOOKUP('Données projet'!$B$10,Paramètres!$A$1:$I$89,3,0)*0.475*44/12</f>
        <v>54.16684740566884</v>
      </c>
      <c r="AW103" s="21">
        <f>EXP(-LN(2)/2)*AW102+(1-EXP(-LN(2)/2))/(LN(2)/2)*AQ103*AT103*VLOOKUP('Données projet'!$B$10,Paramètres!$A$1:$I$89,3,0)*0.475*44/12</f>
        <v>47.710661014940627</v>
      </c>
      <c r="AX103" s="21">
        <f t="shared" si="60"/>
        <v>339.76901327706719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-1.3596945791505279E-13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284.60021367910457</v>
      </c>
      <c r="BJ103" s="59">
        <f t="shared" si="92"/>
        <v>301.41905904220812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100.66772572112593</v>
      </c>
      <c r="BQ103" s="21">
        <f>EXP(-LN(2)/25)*BQ102+(1-EXP(-LN(2)/25))/(LN(2)/25)*Calculateur!BL103*Calculateur!BN103*VLOOKUP('Données projet'!$B$11,Paramètres!$A$1:$I$89,3,0)*0.475*44/12</f>
        <v>17.673571514237107</v>
      </c>
      <c r="BR103" s="21">
        <f>EXP(-LN(2)/2)*BR102+(1-EXP(-LN(2)/2))/(LN(2)/2)*BL103*BO103*VLOOKUP('Données projet'!$B$11,Paramètres!$A$1:$I$89,3,0)*0.475*44/12</f>
        <v>2.7120313832279855E-4</v>
      </c>
      <c r="BS103" s="22">
        <f t="shared" si="63"/>
        <v>118.34156843850137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-3.4106051316484809E-13</v>
      </c>
      <c r="BZ103" s="13">
        <f>BY103*VLOOKUP('Données projet'!$B$12,Paramètres!$A$1:$I$89,3,0)*VLOOKUP('Données projet'!$B$12,Paramètres!$A$1:$I$89,5,0)</f>
        <v>-1.9065282685915009E-13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490.96084572840579</v>
      </c>
      <c r="CE103" s="59">
        <f t="shared" si="94"/>
        <v>597.91658789908263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155.08478294541709</v>
      </c>
      <c r="CL103" s="21">
        <f>EXP(-LN(2)/25)*CL102+(1-EXP(-LN(2)/25))/(LN(2)/25)*Calculateur!CG103*Calculateur!CI103*VLOOKUP('Données projet'!$B$12,Paramètres!$A$1:$I$89,3,0)*0.475*44/12</f>
        <v>27.850229047084433</v>
      </c>
      <c r="CM103" s="21">
        <f>EXP(-LN(2)/2)*CM102+(1-EXP(-LN(2)/2))/(LN(2)/2)*CG103*CJ103*VLOOKUP('Données projet'!$B$12,Paramètres!$A$1:$I$89,3,0)*0.475*44/12</f>
        <v>3.5022161102829681E-4</v>
      </c>
      <c r="CN103" s="22">
        <f t="shared" si="66"/>
        <v>182.93536221411256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-1.064108801074326E-13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482.28841373508675</v>
      </c>
      <c r="T104" s="59">
        <f t="shared" si="88"/>
        <v>746.97309214631684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214.82149272087545</v>
      </c>
      <c r="AA104" s="21">
        <f>EXP(-LN(2)/25)*AA103+(1-EXP(-LN(2)/25))/(LN(2)/25)*Calculateur!V104*Calculateur!X104*VLOOKUP('Données projet'!$B$9,Paramètres!$A$1:$I$89,3,0)*0.475*44/12</f>
        <v>38.758964296963988</v>
      </c>
      <c r="AB104" s="21">
        <f>EXP(-LN(2)/2)*AB103+(1-EXP(-LN(2)/2))/(LN(2)/2)*V104*Y104*VLOOKUP('Données projet'!$B$9,Paramètres!$A$1:$I$89,3,0)*0.475*44/12</f>
        <v>1.4186461758793361E-2</v>
      </c>
      <c r="AC104" s="22">
        <f t="shared" si="57"/>
        <v>253.59464347959823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-5.3205440053716299E-14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259.91478350500478</v>
      </c>
      <c r="AO104" s="59">
        <f t="shared" si="90"/>
        <v>192.27194887051007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233.22659754571319</v>
      </c>
      <c r="AV104" s="21">
        <f>EXP(-LN(2)/25)*AV103+(1-EXP(-LN(2)/25))/(LN(2)/25)*Calculateur!AQ104*Calculateur!AS104*VLOOKUP('Données projet'!$B$10,Paramètres!$A$1:$I$89,3,0)*0.475*44/12</f>
        <v>52.685652114850122</v>
      </c>
      <c r="AW104" s="21">
        <f>EXP(-LN(2)/2)*AW103+(1-EXP(-LN(2)/2))/(LN(2)/2)*AQ104*AT104*VLOOKUP('Données projet'!$B$10,Paramètres!$A$1:$I$89,3,0)*0.475*44/12</f>
        <v>33.736531938557164</v>
      </c>
      <c r="AX104" s="21">
        <f t="shared" si="60"/>
        <v>319.64878159912047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-1.3596945791505279E-13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284.60021367910457</v>
      </c>
      <c r="BJ104" s="59">
        <f t="shared" si="92"/>
        <v>301.41905904220812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98.693693020984469</v>
      </c>
      <c r="BQ104" s="21">
        <f>EXP(-LN(2)/25)*BQ103+(1-EXP(-LN(2)/25))/(LN(2)/25)*Calculateur!BL104*Calculateur!BN104*VLOOKUP('Données projet'!$B$11,Paramètres!$A$1:$I$89,3,0)*0.475*44/12</f>
        <v>17.19028677176756</v>
      </c>
      <c r="BR104" s="21">
        <f>EXP(-LN(2)/2)*BR103+(1-EXP(-LN(2)/2))/(LN(2)/2)*BL104*BO104*VLOOKUP('Données projet'!$B$11,Paramètres!$A$1:$I$89,3,0)*0.475*44/12</f>
        <v>1.917695781871241E-4</v>
      </c>
      <c r="BS104" s="22">
        <f t="shared" si="63"/>
        <v>115.88417156233022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-3.4106051316484809E-13</v>
      </c>
      <c r="BZ104" s="13">
        <f>BY104*VLOOKUP('Données projet'!$B$12,Paramètres!$A$1:$I$89,3,0)*VLOOKUP('Données projet'!$B$12,Paramètres!$A$1:$I$89,5,0)</f>
        <v>-1.9065282685915009E-13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490.96084572840579</v>
      </c>
      <c r="CE104" s="59">
        <f t="shared" si="94"/>
        <v>597.91658789908263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152.04366494423485</v>
      </c>
      <c r="CL104" s="21">
        <f>EXP(-LN(2)/25)*CL103+(1-EXP(-LN(2)/25))/(LN(2)/25)*Calculateur!CG104*Calculateur!CI104*VLOOKUP('Données projet'!$B$12,Paramètres!$A$1:$I$89,3,0)*0.475*44/12</f>
        <v>27.088663069212018</v>
      </c>
      <c r="CM104" s="21">
        <f>EXP(-LN(2)/2)*CM103+(1-EXP(-LN(2)/2))/(LN(2)/2)*CG104*CJ104*VLOOKUP('Données projet'!$B$12,Paramètres!$A$1:$I$89,3,0)*0.475*44/12</f>
        <v>2.4764407607618603E-4</v>
      </c>
      <c r="CN104" s="22">
        <f t="shared" si="66"/>
        <v>179.13257565752292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-1.064108801074326E-13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482.28841373508675</v>
      </c>
      <c r="T105" s="59">
        <f t="shared" si="88"/>
        <v>746.97309214631684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210.60897427679168</v>
      </c>
      <c r="AA105" s="21">
        <f>EXP(-LN(2)/25)*AA104+(1-EXP(-LN(2)/25))/(LN(2)/25)*Calculateur!V105*Calculateur!X105*VLOOKUP('Données projet'!$B$9,Paramètres!$A$1:$I$89,3,0)*0.475*44/12</f>
        <v>37.699098380018164</v>
      </c>
      <c r="AB105" s="21">
        <f>EXP(-LN(2)/2)*AB104+(1-EXP(-LN(2)/2))/(LN(2)/2)*V105*Y105*VLOOKUP('Données projet'!$B$9,Paramètres!$A$1:$I$89,3,0)*0.475*44/12</f>
        <v>1.0031343310686421E-2</v>
      </c>
      <c r="AC105" s="22">
        <f t="shared" si="57"/>
        <v>248.31810400012054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-5.3205440053716299E-14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259.91478350500478</v>
      </c>
      <c r="AO105" s="59">
        <f t="shared" si="90"/>
        <v>192.27194887051007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228.65316622201982</v>
      </c>
      <c r="AV105" s="21">
        <f>EXP(-LN(2)/25)*AV104+(1-EXP(-LN(2)/25))/(LN(2)/25)*Calculateur!AQ105*Calculateur!AS105*VLOOKUP('Données projet'!$B$10,Paramètres!$A$1:$I$89,3,0)*0.475*44/12</f>
        <v>51.244960187151513</v>
      </c>
      <c r="AW105" s="21">
        <f>EXP(-LN(2)/2)*AW104+(1-EXP(-LN(2)/2))/(LN(2)/2)*AQ105*AT105*VLOOKUP('Données projet'!$B$10,Paramètres!$A$1:$I$89,3,0)*0.475*44/12</f>
        <v>23.855330507470313</v>
      </c>
      <c r="AX105" s="21">
        <f t="shared" si="60"/>
        <v>303.75345691664165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-1.3596945791505279E-13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284.60021367910457</v>
      </c>
      <c r="BJ105" s="59">
        <f t="shared" si="92"/>
        <v>301.41905904220812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96.758369898051725</v>
      </c>
      <c r="BQ105" s="21">
        <f>EXP(-LN(2)/25)*BQ104+(1-EXP(-LN(2)/25))/(LN(2)/25)*Calculateur!BL105*Calculateur!BN105*VLOOKUP('Données projet'!$B$11,Paramètres!$A$1:$I$89,3,0)*0.475*44/12</f>
        <v>16.720217475995685</v>
      </c>
      <c r="BR105" s="21">
        <f>EXP(-LN(2)/2)*BR104+(1-EXP(-LN(2)/2))/(LN(2)/2)*BL105*BO105*VLOOKUP('Données projet'!$B$11,Paramètres!$A$1:$I$89,3,0)*0.475*44/12</f>
        <v>1.3560156916139928E-4</v>
      </c>
      <c r="BS105" s="22">
        <f t="shared" si="63"/>
        <v>113.47872297561656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-3.4106051316484809E-13</v>
      </c>
      <c r="BZ105" s="13">
        <f>BY105*VLOOKUP('Données projet'!$B$12,Paramètres!$A$1:$I$89,3,0)*VLOOKUP('Données projet'!$B$12,Paramètres!$A$1:$I$89,5,0)</f>
        <v>-1.9065282685915009E-13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490.96084572840579</v>
      </c>
      <c r="CE105" s="59">
        <f t="shared" si="94"/>
        <v>597.91658789908263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149.06218141215695</v>
      </c>
      <c r="CL105" s="21">
        <f>EXP(-LN(2)/25)*CL104+(1-EXP(-LN(2)/25))/(LN(2)/25)*Calculateur!CG105*Calculateur!CI105*VLOOKUP('Données projet'!$B$12,Paramètres!$A$1:$I$89,3,0)*0.475*44/12</f>
        <v>26.347922153053535</v>
      </c>
      <c r="CM105" s="21">
        <f>EXP(-LN(2)/2)*CM104+(1-EXP(-LN(2)/2))/(LN(2)/2)*CG105*CJ105*VLOOKUP('Données projet'!$B$12,Paramètres!$A$1:$I$89,3,0)*0.475*44/12</f>
        <v>1.7511080551414841E-4</v>
      </c>
      <c r="CN105" s="22">
        <f t="shared" si="66"/>
        <v>175.41027867601599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-1.064108801074326E-13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482.28841373508675</v>
      </c>
      <c r="T106" s="59">
        <f t="shared" si="88"/>
        <v>746.97309214631684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206.47906075001384</v>
      </c>
      <c r="AA106" s="21">
        <f>EXP(-LN(2)/25)*AA105+(1-EXP(-LN(2)/25))/(LN(2)/25)*Calculateur!V106*Calculateur!X106*VLOOKUP('Données projet'!$B$9,Paramètres!$A$1:$I$89,3,0)*0.475*44/12</f>
        <v>36.668214552307148</v>
      </c>
      <c r="AB106" s="21">
        <f>EXP(-LN(2)/2)*AB105+(1-EXP(-LN(2)/2))/(LN(2)/2)*V106*Y106*VLOOKUP('Données projet'!$B$9,Paramètres!$A$1:$I$89,3,0)*0.475*44/12</f>
        <v>7.0932308793966803E-3</v>
      </c>
      <c r="AC106" s="22">
        <f t="shared" si="57"/>
        <v>243.1543685332004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-5.3205440053716299E-14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259.91478350500478</v>
      </c>
      <c r="AO106" s="59">
        <f t="shared" si="90"/>
        <v>192.27194887051007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224.16941709706643</v>
      </c>
      <c r="AV106" s="21">
        <f>EXP(-LN(2)/25)*AV105+(1-EXP(-LN(2)/25))/(LN(2)/25)*Calculateur!AQ106*Calculateur!AS106*VLOOKUP('Données projet'!$B$10,Paramètres!$A$1:$I$89,3,0)*0.475*44/12</f>
        <v>49.843664055978522</v>
      </c>
      <c r="AW106" s="21">
        <f>EXP(-LN(2)/2)*AW105+(1-EXP(-LN(2)/2))/(LN(2)/2)*AQ106*AT106*VLOOKUP('Données projet'!$B$10,Paramètres!$A$1:$I$89,3,0)*0.475*44/12</f>
        <v>16.868265969278582</v>
      </c>
      <c r="AX106" s="21">
        <f t="shared" si="60"/>
        <v>290.88134712232352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-1.3596945791505279E-13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284.60021367910457</v>
      </c>
      <c r="BJ106" s="59">
        <f t="shared" si="92"/>
        <v>301.41905904220812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94.860997281129144</v>
      </c>
      <c r="BQ106" s="21">
        <f>EXP(-LN(2)/25)*BQ105+(1-EXP(-LN(2)/25))/(LN(2)/25)*Calculateur!BL106*Calculateur!BN106*VLOOKUP('Données projet'!$B$11,Paramètres!$A$1:$I$89,3,0)*0.475*44/12</f>
        <v>16.263002249836561</v>
      </c>
      <c r="BR106" s="21">
        <f>EXP(-LN(2)/2)*BR105+(1-EXP(-LN(2)/2))/(LN(2)/2)*BL106*BO106*VLOOKUP('Données projet'!$B$11,Paramètres!$A$1:$I$89,3,0)*0.475*44/12</f>
        <v>9.588478909356205E-5</v>
      </c>
      <c r="BS106" s="22">
        <f t="shared" si="63"/>
        <v>111.12409541575479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-3.4106051316484809E-13</v>
      </c>
      <c r="BZ106" s="13">
        <f>BY106*VLOOKUP('Données projet'!$B$12,Paramètres!$A$1:$I$89,3,0)*VLOOKUP('Données projet'!$B$12,Paramètres!$A$1:$I$89,5,0)</f>
        <v>-1.9065282685915009E-13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490.96084572840579</v>
      </c>
      <c r="CE106" s="59">
        <f t="shared" si="94"/>
        <v>597.91658789908263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146.1391629536177</v>
      </c>
      <c r="CL106" s="21">
        <f>EXP(-LN(2)/25)*CL105+(1-EXP(-LN(2)/25))/(LN(2)/25)*Calculateur!CG106*Calculateur!CI106*VLOOKUP('Données projet'!$B$12,Paramètres!$A$1:$I$89,3,0)*0.475*44/12</f>
        <v>25.62743683620128</v>
      </c>
      <c r="CM106" s="21">
        <f>EXP(-LN(2)/2)*CM105+(1-EXP(-LN(2)/2))/(LN(2)/2)*CG106*CJ106*VLOOKUP('Données projet'!$B$12,Paramètres!$A$1:$I$89,3,0)*0.475*44/12</f>
        <v>1.2382203803809302E-4</v>
      </c>
      <c r="CN106" s="22">
        <f t="shared" si="66"/>
        <v>171.766723611857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-1.064108801074326E-13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482.28841373508675</v>
      </c>
      <c r="T107" s="59">
        <f t="shared" si="88"/>
        <v>746.97309214631684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202.4301323084976</v>
      </c>
      <c r="AA107" s="21">
        <f>EXP(-LN(2)/25)*AA106+(1-EXP(-LN(2)/25))/(LN(2)/25)*Calculateur!V107*Calculateur!X107*VLOOKUP('Données projet'!$B$9,Paramètres!$A$1:$I$89,3,0)*0.475*44/12</f>
        <v>35.665520297076711</v>
      </c>
      <c r="AB107" s="21">
        <f>EXP(-LN(2)/2)*AB106+(1-EXP(-LN(2)/2))/(LN(2)/2)*V107*Y107*VLOOKUP('Données projet'!$B$9,Paramètres!$A$1:$I$89,3,0)*0.475*44/12</f>
        <v>5.0156716553432104E-3</v>
      </c>
      <c r="AC107" s="22">
        <f t="shared" si="57"/>
        <v>238.10066827722966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-5.3205440053716299E-14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259.91478350500478</v>
      </c>
      <c r="AO107" s="59">
        <f t="shared" si="90"/>
        <v>192.27194887051007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219.77359155763642</v>
      </c>
      <c r="AV107" s="21">
        <f>EXP(-LN(2)/25)*AV106+(1-EXP(-LN(2)/25))/(LN(2)/25)*Calculateur!AQ107*Calculateur!AS107*VLOOKUP('Données projet'!$B$10,Paramètres!$A$1:$I$89,3,0)*0.475*44/12</f>
        <v>48.480686441203417</v>
      </c>
      <c r="AW107" s="21">
        <f>EXP(-LN(2)/2)*AW106+(1-EXP(-LN(2)/2))/(LN(2)/2)*AQ107*AT107*VLOOKUP('Données projet'!$B$10,Paramètres!$A$1:$I$89,3,0)*0.475*44/12</f>
        <v>11.927665253735157</v>
      </c>
      <c r="AX107" s="21">
        <f t="shared" si="60"/>
        <v>280.18194325257497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-1.3596945791505279E-13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284.60021367910457</v>
      </c>
      <c r="BJ107" s="59">
        <f t="shared" si="92"/>
        <v>301.41905904220812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93.000830983941398</v>
      </c>
      <c r="BQ107" s="21">
        <f>EXP(-LN(2)/25)*BQ106+(1-EXP(-LN(2)/25))/(LN(2)/25)*Calculateur!BL107*Calculateur!BN107*VLOOKUP('Données projet'!$B$11,Paramètres!$A$1:$I$89,3,0)*0.475*44/12</f>
        <v>15.818289598080661</v>
      </c>
      <c r="BR107" s="21">
        <f>EXP(-LN(2)/2)*BR106+(1-EXP(-LN(2)/2))/(LN(2)/2)*BL107*BO107*VLOOKUP('Données projet'!$B$11,Paramètres!$A$1:$I$89,3,0)*0.475*44/12</f>
        <v>6.7800784580699638E-5</v>
      </c>
      <c r="BS107" s="22">
        <f t="shared" si="63"/>
        <v>108.81918838280664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-3.4106051316484809E-13</v>
      </c>
      <c r="BZ107" s="13">
        <f>BY107*VLOOKUP('Données projet'!$B$12,Paramètres!$A$1:$I$89,3,0)*VLOOKUP('Données projet'!$B$12,Paramètres!$A$1:$I$89,5,0)</f>
        <v>-1.9065282685915009E-13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490.96084572840579</v>
      </c>
      <c r="CE107" s="59">
        <f t="shared" si="94"/>
        <v>597.91658789908263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143.2734631041852</v>
      </c>
      <c r="CL107" s="21">
        <f>EXP(-LN(2)/25)*CL106+(1-EXP(-LN(2)/25))/(LN(2)/25)*Calculateur!CG107*Calculateur!CI107*VLOOKUP('Données projet'!$B$12,Paramètres!$A$1:$I$89,3,0)*0.475*44/12</f>
        <v>24.926653228227025</v>
      </c>
      <c r="CM107" s="21">
        <f>EXP(-LN(2)/2)*CM106+(1-EXP(-LN(2)/2))/(LN(2)/2)*CG107*CJ107*VLOOKUP('Données projet'!$B$12,Paramètres!$A$1:$I$89,3,0)*0.475*44/12</f>
        <v>8.7555402757074204E-5</v>
      </c>
      <c r="CN107" s="22">
        <f t="shared" si="66"/>
        <v>168.20020388781498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-1.064108801074326E-13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482.28841373508675</v>
      </c>
      <c r="T108" s="59">
        <f t="shared" si="88"/>
        <v>746.97309214631684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198.46060088411701</v>
      </c>
      <c r="AA108" s="21">
        <f>EXP(-LN(2)/25)*AA107+(1-EXP(-LN(2)/25))/(LN(2)/25)*Calculateur!V108*Calculateur!X108*VLOOKUP('Données projet'!$B$9,Paramètres!$A$1:$I$89,3,0)*0.475*44/12</f>
        <v>34.690244768984954</v>
      </c>
      <c r="AB108" s="21">
        <f>EXP(-LN(2)/2)*AB107+(1-EXP(-LN(2)/2))/(LN(2)/2)*V108*Y108*VLOOKUP('Données projet'!$B$9,Paramètres!$A$1:$I$89,3,0)*0.475*44/12</f>
        <v>3.5466154396983402E-3</v>
      </c>
      <c r="AC108" s="22">
        <f t="shared" si="57"/>
        <v>233.15439226854164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-5.3205440053716299E-14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259.91478350500478</v>
      </c>
      <c r="AO108" s="59">
        <f t="shared" si="90"/>
        <v>192.27194887051007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215.46396547584581</v>
      </c>
      <c r="AV108" s="21">
        <f>EXP(-LN(2)/25)*AV107+(1-EXP(-LN(2)/25))/(LN(2)/25)*Calculateur!AQ108*Calculateur!AS108*VLOOKUP('Données projet'!$B$10,Paramètres!$A$1:$I$89,3,0)*0.475*44/12</f>
        <v>47.154979520980213</v>
      </c>
      <c r="AW108" s="21">
        <f>EXP(-LN(2)/2)*AW107+(1-EXP(-LN(2)/2))/(LN(2)/2)*AQ108*AT108*VLOOKUP('Données projet'!$B$10,Paramètres!$A$1:$I$89,3,0)*0.475*44/12</f>
        <v>8.434132984639291</v>
      </c>
      <c r="AX108" s="21">
        <f t="shared" si="60"/>
        <v>271.05307798146532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-1.3596945791505279E-13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284.60021367910457</v>
      </c>
      <c r="BJ108" s="59">
        <f t="shared" si="92"/>
        <v>301.41905904220812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91.177141413252087</v>
      </c>
      <c r="BQ108" s="21">
        <f>EXP(-LN(2)/25)*BQ107+(1-EXP(-LN(2)/25))/(LN(2)/25)*Calculateur!BL108*Calculateur!BN108*VLOOKUP('Données projet'!$B$11,Paramètres!$A$1:$I$89,3,0)*0.475*44/12</f>
        <v>15.385737637173449</v>
      </c>
      <c r="BR108" s="21">
        <f>EXP(-LN(2)/2)*BR107+(1-EXP(-LN(2)/2))/(LN(2)/2)*BL108*BO108*VLOOKUP('Données projet'!$B$11,Paramètres!$A$1:$I$89,3,0)*0.475*44/12</f>
        <v>4.7942394546781025E-5</v>
      </c>
      <c r="BS108" s="22">
        <f t="shared" si="63"/>
        <v>106.56292699282008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-3.4106051316484809E-13</v>
      </c>
      <c r="BZ108" s="13">
        <f>BY108*VLOOKUP('Données projet'!$B$12,Paramètres!$A$1:$I$89,3,0)*VLOOKUP('Données projet'!$B$12,Paramètres!$A$1:$I$89,5,0)</f>
        <v>-1.9065282685915009E-13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490.96084572840579</v>
      </c>
      <c r="CE108" s="59">
        <f t="shared" si="94"/>
        <v>597.91658789908263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140.46395788089575</v>
      </c>
      <c r="CL108" s="21">
        <f>EXP(-LN(2)/25)*CL107+(1-EXP(-LN(2)/25))/(LN(2)/25)*Calculateur!CG108*Calculateur!CI108*VLOOKUP('Données projet'!$B$12,Paramètres!$A$1:$I$89,3,0)*0.475*44/12</f>
        <v>24.245032584865434</v>
      </c>
      <c r="CM108" s="21">
        <f>EXP(-LN(2)/2)*CM107+(1-EXP(-LN(2)/2))/(LN(2)/2)*CG108*CJ108*VLOOKUP('Données projet'!$B$12,Paramètres!$A$1:$I$89,3,0)*0.475*44/12</f>
        <v>6.1911019019046508E-5</v>
      </c>
      <c r="CN108" s="22">
        <f t="shared" si="66"/>
        <v>164.70905237678022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-1.064108801074326E-13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482.28841373508675</v>
      </c>
      <c r="T109" s="59">
        <f t="shared" si="88"/>
        <v>746.97309214631684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194.56890954979343</v>
      </c>
      <c r="AA109" s="21">
        <f>EXP(-LN(2)/25)*AA108+(1-EXP(-LN(2)/25))/(LN(2)/25)*Calculateur!V109*Calculateur!X109*VLOOKUP('Données projet'!$B$9,Paramètres!$A$1:$I$89,3,0)*0.475*44/12</f>
        <v>33.741638201496372</v>
      </c>
      <c r="AB109" s="21">
        <f>EXP(-LN(2)/2)*AB108+(1-EXP(-LN(2)/2))/(LN(2)/2)*V109*Y109*VLOOKUP('Données projet'!$B$9,Paramètres!$A$1:$I$89,3,0)*0.475*44/12</f>
        <v>2.5078358276716052E-3</v>
      </c>
      <c r="AC109" s="22">
        <f t="shared" si="57"/>
        <v>228.31305558711747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-5.3205440053716299E-14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259.91478350500478</v>
      </c>
      <c r="AO109" s="59">
        <f t="shared" si="90"/>
        <v>192.27194887051007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211.23884853290676</v>
      </c>
      <c r="AV109" s="21">
        <f>EXP(-LN(2)/25)*AV108+(1-EXP(-LN(2)/25))/(LN(2)/25)*Calculateur!AQ109*Calculateur!AS109*VLOOKUP('Données projet'!$B$10,Paramètres!$A$1:$I$89,3,0)*0.475*44/12</f>
        <v>45.86552412620641</v>
      </c>
      <c r="AW109" s="21">
        <f>EXP(-LN(2)/2)*AW108+(1-EXP(-LN(2)/2))/(LN(2)/2)*AQ109*AT109*VLOOKUP('Données projet'!$B$10,Paramètres!$A$1:$I$89,3,0)*0.475*44/12</f>
        <v>5.9638326268675783</v>
      </c>
      <c r="AX109" s="21">
        <f t="shared" si="60"/>
        <v>263.06820528598075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-1.3596945791505279E-13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284.60021367910457</v>
      </c>
      <c r="BJ109" s="59">
        <f t="shared" si="92"/>
        <v>301.41905904220812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89.389213282703196</v>
      </c>
      <c r="BQ109" s="21">
        <f>EXP(-LN(2)/25)*BQ108+(1-EXP(-LN(2)/25))/(LN(2)/25)*Calculateur!BL109*Calculateur!BN109*VLOOKUP('Données projet'!$B$11,Paramètres!$A$1:$I$89,3,0)*0.475*44/12</f>
        <v>14.965013832384162</v>
      </c>
      <c r="BR109" s="21">
        <f>EXP(-LN(2)/2)*BR108+(1-EXP(-LN(2)/2))/(LN(2)/2)*BL109*BO109*VLOOKUP('Données projet'!$B$11,Paramètres!$A$1:$I$89,3,0)*0.475*44/12</f>
        <v>3.3900392290349819E-5</v>
      </c>
      <c r="BS109" s="22">
        <f t="shared" si="63"/>
        <v>104.35426101547965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-3.4106051316484809E-13</v>
      </c>
      <c r="BZ109" s="13">
        <f>BY109*VLOOKUP('Données projet'!$B$12,Paramètres!$A$1:$I$89,3,0)*VLOOKUP('Données projet'!$B$12,Paramètres!$A$1:$I$89,5,0)</f>
        <v>-1.9065282685915009E-13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490.96084572840579</v>
      </c>
      <c r="CE109" s="59">
        <f t="shared" si="94"/>
        <v>597.91658789908263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137.70954534140603</v>
      </c>
      <c r="CL109" s="21">
        <f>EXP(-LN(2)/25)*CL108+(1-EXP(-LN(2)/25))/(LN(2)/25)*Calculateur!CG109*Calculateur!CI109*VLOOKUP('Données projet'!$B$12,Paramètres!$A$1:$I$89,3,0)*0.475*44/12</f>
        <v>23.582050893841437</v>
      </c>
      <c r="CM109" s="21">
        <f>EXP(-LN(2)/2)*CM108+(1-EXP(-LN(2)/2))/(LN(2)/2)*CG109*CJ109*VLOOKUP('Données projet'!$B$12,Paramètres!$A$1:$I$89,3,0)*0.475*44/12</f>
        <v>4.3777701378537102E-5</v>
      </c>
      <c r="CN109" s="22">
        <f t="shared" si="66"/>
        <v>161.29164001294882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-1.064108801074326E-13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482.28841373508675</v>
      </c>
      <c r="T110" s="59">
        <f t="shared" si="88"/>
        <v>746.97309214631684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190.7535319088386</v>
      </c>
      <c r="AA110" s="21">
        <f>EXP(-LN(2)/25)*AA109+(1-EXP(-LN(2)/25))/(LN(2)/25)*Calculateur!V110*Calculateur!X110*VLOOKUP('Données projet'!$B$9,Paramètres!$A$1:$I$89,3,0)*0.475*44/12</f>
        <v>32.818971330480821</v>
      </c>
      <c r="AB110" s="21">
        <f>EXP(-LN(2)/2)*AB109+(1-EXP(-LN(2)/2))/(LN(2)/2)*V110*Y110*VLOOKUP('Données projet'!$B$9,Paramètres!$A$1:$I$89,3,0)*0.475*44/12</f>
        <v>1.7733077198491701E-3</v>
      </c>
      <c r="AC110" s="22">
        <f t="shared" si="57"/>
        <v>223.57427654703926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-5.3205440053716299E-14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259.91478350500478</v>
      </c>
      <c r="AO110" s="59">
        <f t="shared" si="90"/>
        <v>192.27194887051007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207.09658355615187</v>
      </c>
      <c r="AV110" s="21">
        <f>EXP(-LN(2)/25)*AV109+(1-EXP(-LN(2)/25))/(LN(2)/25)*Calculateur!AQ110*Calculateur!AS110*VLOOKUP('Données projet'!$B$10,Paramètres!$A$1:$I$89,3,0)*0.475*44/12</f>
        <v>44.611328957012212</v>
      </c>
      <c r="AW110" s="21">
        <f>EXP(-LN(2)/2)*AW109+(1-EXP(-LN(2)/2))/(LN(2)/2)*AQ110*AT110*VLOOKUP('Données projet'!$B$10,Paramètres!$A$1:$I$89,3,0)*0.475*44/12</f>
        <v>4.2170664923196455</v>
      </c>
      <c r="AX110" s="21">
        <f t="shared" si="60"/>
        <v>255.92497900548372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-1.3596945791505279E-13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284.60021367910457</v>
      </c>
      <c r="BJ110" s="59">
        <f t="shared" si="92"/>
        <v>301.41905904220812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87.63634533226589</v>
      </c>
      <c r="BQ110" s="21">
        <f>EXP(-LN(2)/25)*BQ109+(1-EXP(-LN(2)/25))/(LN(2)/25)*Calculateur!BL110*Calculateur!BN110*VLOOKUP('Données projet'!$B$11,Paramètres!$A$1:$I$89,3,0)*0.475*44/12</f>
        <v>14.555794742161742</v>
      </c>
      <c r="BR110" s="21">
        <f>EXP(-LN(2)/2)*BR109+(1-EXP(-LN(2)/2))/(LN(2)/2)*BL110*BO110*VLOOKUP('Données projet'!$B$11,Paramètres!$A$1:$I$89,3,0)*0.475*44/12</f>
        <v>2.3971197273390513E-5</v>
      </c>
      <c r="BS110" s="22">
        <f t="shared" si="63"/>
        <v>102.19216404562491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-3.4106051316484809E-13</v>
      </c>
      <c r="BZ110" s="13">
        <f>BY110*VLOOKUP('Données projet'!$B$12,Paramètres!$A$1:$I$89,3,0)*VLOOKUP('Données projet'!$B$12,Paramètres!$A$1:$I$89,5,0)</f>
        <v>-1.9065282685915009E-13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490.96084572840579</v>
      </c>
      <c r="CE110" s="59">
        <f t="shared" si="94"/>
        <v>597.91658789908263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135.00914515178994</v>
      </c>
      <c r="CL110" s="21">
        <f>EXP(-LN(2)/25)*CL109+(1-EXP(-LN(2)/25))/(LN(2)/25)*Calculateur!CG110*Calculateur!CI110*VLOOKUP('Données projet'!$B$12,Paramètres!$A$1:$I$89,3,0)*0.475*44/12</f>
        <v>22.937198472023184</v>
      </c>
      <c r="CM110" s="21">
        <f>EXP(-LN(2)/2)*CM109+(1-EXP(-LN(2)/2))/(LN(2)/2)*CG110*CJ110*VLOOKUP('Données projet'!$B$12,Paramètres!$A$1:$I$89,3,0)*0.475*44/12</f>
        <v>3.0955509509523254E-5</v>
      </c>
      <c r="CN110" s="22">
        <f t="shared" si="66"/>
        <v>157.94637457932262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-1.064108801074326E-13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482.28841373508675</v>
      </c>
      <c r="T111" s="59">
        <f t="shared" si="88"/>
        <v>746.97309214631684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187.01297149627231</v>
      </c>
      <c r="AA111" s="21">
        <f>EXP(-LN(2)/25)*AA110+(1-EXP(-LN(2)/25))/(LN(2)/25)*Calculateur!V111*Calculateur!X111*VLOOKUP('Données projet'!$B$9,Paramètres!$A$1:$I$89,3,0)*0.475*44/12</f>
        <v>31.921534833574128</v>
      </c>
      <c r="AB111" s="21">
        <f>EXP(-LN(2)/2)*AB110+(1-EXP(-LN(2)/2))/(LN(2)/2)*V111*Y111*VLOOKUP('Données projet'!$B$9,Paramètres!$A$1:$I$89,3,0)*0.475*44/12</f>
        <v>1.2539179138358026E-3</v>
      </c>
      <c r="AC111" s="22">
        <f t="shared" si="57"/>
        <v>218.93576024776027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-5.3205440053716299E-14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259.91478350500478</v>
      </c>
      <c r="AO111" s="59">
        <f t="shared" si="90"/>
        <v>192.27194887051007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203.03554586905898</v>
      </c>
      <c r="AV111" s="21">
        <f>EXP(-LN(2)/25)*AV110+(1-EXP(-LN(2)/25))/(LN(2)/25)*Calculateur!AQ111*Calculateur!AS111*VLOOKUP('Données projet'!$B$10,Paramètres!$A$1:$I$89,3,0)*0.475*44/12</f>
        <v>43.391429820674887</v>
      </c>
      <c r="AW111" s="21">
        <f>EXP(-LN(2)/2)*AW110+(1-EXP(-LN(2)/2))/(LN(2)/2)*AQ111*AT111*VLOOKUP('Données projet'!$B$10,Paramètres!$A$1:$I$89,3,0)*0.475*44/12</f>
        <v>2.9819163134337892</v>
      </c>
      <c r="AX111" s="21">
        <f t="shared" si="60"/>
        <v>249.40889200316767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-1.3596945791505279E-13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284.60021367910457</v>
      </c>
      <c r="BJ111" s="59">
        <f t="shared" si="92"/>
        <v>301.41905904220812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85.91785005319278</v>
      </c>
      <c r="BQ111" s="21">
        <f>EXP(-LN(2)/25)*BQ110+(1-EXP(-LN(2)/25))/(LN(2)/25)*Calculateur!BL111*Calculateur!BN111*VLOOKUP('Données projet'!$B$11,Paramètres!$A$1:$I$89,3,0)*0.475*44/12</f>
        <v>14.157765769481351</v>
      </c>
      <c r="BR111" s="21">
        <f>EXP(-LN(2)/2)*BR110+(1-EXP(-LN(2)/2))/(LN(2)/2)*BL111*BO111*VLOOKUP('Données projet'!$B$11,Paramètres!$A$1:$I$89,3,0)*0.475*44/12</f>
        <v>1.695019614517491E-5</v>
      </c>
      <c r="BS111" s="22">
        <f t="shared" si="63"/>
        <v>100.07563277287028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-3.4106051316484809E-13</v>
      </c>
      <c r="BZ111" s="13">
        <f>BY111*VLOOKUP('Données projet'!$B$12,Paramètres!$A$1:$I$89,3,0)*VLOOKUP('Données projet'!$B$12,Paramètres!$A$1:$I$89,5,0)</f>
        <v>-1.9065282685915009E-13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490.96084572840579</v>
      </c>
      <c r="CE111" s="59">
        <f t="shared" si="94"/>
        <v>597.91658789908263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132.36169816281074</v>
      </c>
      <c r="CL111" s="21">
        <f>EXP(-LN(2)/25)*CL110+(1-EXP(-LN(2)/25))/(LN(2)/25)*Calculateur!CG111*Calculateur!CI111*VLOOKUP('Données projet'!$B$12,Paramètres!$A$1:$I$89,3,0)*0.475*44/12</f>
        <v>22.309979573590866</v>
      </c>
      <c r="CM111" s="21">
        <f>EXP(-LN(2)/2)*CM110+(1-EXP(-LN(2)/2))/(LN(2)/2)*CG111*CJ111*VLOOKUP('Données projet'!$B$12,Paramètres!$A$1:$I$89,3,0)*0.475*44/12</f>
        <v>2.1888850689268551E-5</v>
      </c>
      <c r="CN111" s="22">
        <f t="shared" si="66"/>
        <v>154.67169962525227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-1.064108801074326E-13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482.28841373508675</v>
      </c>
      <c r="T112" s="59">
        <f t="shared" si="88"/>
        <v>746.97309214631684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183.34576119187989</v>
      </c>
      <c r="AA112" s="21">
        <f>EXP(-LN(2)/25)*AA111+(1-EXP(-LN(2)/25))/(LN(2)/25)*Calculateur!V112*Calculateur!X112*VLOOKUP('Données projet'!$B$9,Paramètres!$A$1:$I$89,3,0)*0.475*44/12</f>
        <v>31.048638784869485</v>
      </c>
      <c r="AB112" s="21">
        <f>EXP(-LN(2)/2)*AB111+(1-EXP(-LN(2)/2))/(LN(2)/2)*V112*Y112*VLOOKUP('Données projet'!$B$9,Paramètres!$A$1:$I$89,3,0)*0.475*44/12</f>
        <v>8.8665385992458504E-4</v>
      </c>
      <c r="AC112" s="22">
        <f t="shared" si="57"/>
        <v>214.39528663060932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-5.3205440053716299E-14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259.91478350500478</v>
      </c>
      <c r="AO112" s="59">
        <f t="shared" si="90"/>
        <v>192.27194887051007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199.05414265402158</v>
      </c>
      <c r="AV112" s="21">
        <f>EXP(-LN(2)/25)*AV111+(1-EXP(-LN(2)/25))/(LN(2)/25)*Calculateur!AQ112*Calculateur!AS112*VLOOKUP('Données projet'!$B$10,Paramètres!$A$1:$I$89,3,0)*0.475*44/12</f>
        <v>42.204888890372409</v>
      </c>
      <c r="AW112" s="21">
        <f>EXP(-LN(2)/2)*AW111+(1-EXP(-LN(2)/2))/(LN(2)/2)*AQ112*AT112*VLOOKUP('Données projet'!$B$10,Paramètres!$A$1:$I$89,3,0)*0.475*44/12</f>
        <v>2.1085332461598227</v>
      </c>
      <c r="AX112" s="21">
        <f t="shared" si="60"/>
        <v>243.36756479055381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-1.3596945791505279E-13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284.60021367910457</v>
      </c>
      <c r="BJ112" s="59">
        <f t="shared" si="92"/>
        <v>301.41905904220812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84.233053418363667</v>
      </c>
      <c r="BQ112" s="21">
        <f>EXP(-LN(2)/25)*BQ111+(1-EXP(-LN(2)/25))/(LN(2)/25)*Calculateur!BL112*Calculateur!BN112*VLOOKUP('Données projet'!$B$11,Paramètres!$A$1:$I$89,3,0)*0.475*44/12</f>
        <v>13.770620919990339</v>
      </c>
      <c r="BR112" s="21">
        <f>EXP(-LN(2)/2)*BR111+(1-EXP(-LN(2)/2))/(LN(2)/2)*BL112*BO112*VLOOKUP('Données projet'!$B$11,Paramètres!$A$1:$I$89,3,0)*0.475*44/12</f>
        <v>1.1985598636695256E-5</v>
      </c>
      <c r="BS112" s="22">
        <f t="shared" si="63"/>
        <v>98.003686323952635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-3.4106051316484809E-13</v>
      </c>
      <c r="BZ112" s="13">
        <f>BY112*VLOOKUP('Données projet'!$B$12,Paramètres!$A$1:$I$89,3,0)*VLOOKUP('Données projet'!$B$12,Paramètres!$A$1:$I$89,5,0)</f>
        <v>-1.9065282685915009E-13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490.96084572840579</v>
      </c>
      <c r="CE112" s="59">
        <f t="shared" si="94"/>
        <v>597.91658789908263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129.76616599450222</v>
      </c>
      <c r="CL112" s="21">
        <f>EXP(-LN(2)/25)*CL111+(1-EXP(-LN(2)/25))/(LN(2)/25)*Calculateur!CG112*Calculateur!CI112*VLOOKUP('Données projet'!$B$12,Paramètres!$A$1:$I$89,3,0)*0.475*44/12</f>
        <v>21.699912008920187</v>
      </c>
      <c r="CM112" s="21">
        <f>EXP(-LN(2)/2)*CM111+(1-EXP(-LN(2)/2))/(LN(2)/2)*CG112*CJ112*VLOOKUP('Données projet'!$B$12,Paramètres!$A$1:$I$89,3,0)*0.475*44/12</f>
        <v>1.5477754754761627E-5</v>
      </c>
      <c r="CN112" s="22">
        <f t="shared" si="66"/>
        <v>151.46609348117715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-1.064108801074326E-13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482.28841373508675</v>
      </c>
      <c r="T113" s="59">
        <f t="shared" si="88"/>
        <v>746.97309214631684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179.75046264477916</v>
      </c>
      <c r="AA113" s="21">
        <f>EXP(-LN(2)/25)*AA112+(1-EXP(-LN(2)/25))/(LN(2)/25)*Calculateur!V113*Calculateur!X113*VLOOKUP('Données projet'!$B$9,Paramètres!$A$1:$I$89,3,0)*0.475*44/12</f>
        <v>30.199612124520279</v>
      </c>
      <c r="AB113" s="21">
        <f>EXP(-LN(2)/2)*AB112+(1-EXP(-LN(2)/2))/(LN(2)/2)*V113*Y113*VLOOKUP('Données projet'!$B$9,Paramètres!$A$1:$I$89,3,0)*0.475*44/12</f>
        <v>6.2695895691790131E-4</v>
      </c>
      <c r="AC113" s="22">
        <f t="shared" si="57"/>
        <v>209.95070172825638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-5.3205440053716299E-14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259.91478350500478</v>
      </c>
      <c r="AO113" s="59">
        <f t="shared" si="90"/>
        <v>192.27194887051007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195.15081232761489</v>
      </c>
      <c r="AV113" s="21">
        <f>EXP(-LN(2)/25)*AV112+(1-EXP(-LN(2)/25))/(LN(2)/25)*Calculateur!AQ113*Calculateur!AS113*VLOOKUP('Données projet'!$B$10,Paramètres!$A$1:$I$89,3,0)*0.475*44/12</f>
        <v>41.050793984206528</v>
      </c>
      <c r="AW113" s="21">
        <f>EXP(-LN(2)/2)*AW112+(1-EXP(-LN(2)/2))/(LN(2)/2)*AQ113*AT113*VLOOKUP('Données projet'!$B$10,Paramètres!$A$1:$I$89,3,0)*0.475*44/12</f>
        <v>1.4909581567168946</v>
      </c>
      <c r="AX113" s="21">
        <f t="shared" si="60"/>
        <v>237.69256446853831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-1.3596945791505279E-13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284.60021367910457</v>
      </c>
      <c r="BJ113" s="59">
        <f t="shared" si="92"/>
        <v>301.41905904220812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82.58129461791907</v>
      </c>
      <c r="BQ113" s="21">
        <f>EXP(-LN(2)/25)*BQ112+(1-EXP(-LN(2)/25))/(LN(2)/25)*Calculateur!BL113*Calculateur!BN113*VLOOKUP('Données projet'!$B$11,Paramètres!$A$1:$I$89,3,0)*0.475*44/12</f>
        <v>13.394062566767722</v>
      </c>
      <c r="BR113" s="21">
        <f>EXP(-LN(2)/2)*BR112+(1-EXP(-LN(2)/2))/(LN(2)/2)*BL113*BO113*VLOOKUP('Données projet'!$B$11,Paramètres!$A$1:$I$89,3,0)*0.475*44/12</f>
        <v>8.4750980725874548E-6</v>
      </c>
      <c r="BS113" s="22">
        <f t="shared" si="63"/>
        <v>95.97536565978487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-3.4106051316484809E-13</v>
      </c>
      <c r="BZ113" s="13">
        <f>BY113*VLOOKUP('Données projet'!$B$12,Paramètres!$A$1:$I$89,3,0)*VLOOKUP('Données projet'!$B$12,Paramètres!$A$1:$I$89,5,0)</f>
        <v>-1.9065282685915009E-13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490.96084572840579</v>
      </c>
      <c r="CE113" s="59">
        <f t="shared" si="94"/>
        <v>597.91658789908263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127.22153062889592</v>
      </c>
      <c r="CL113" s="21">
        <f>EXP(-LN(2)/25)*CL112+(1-EXP(-LN(2)/25))/(LN(2)/25)*Calculateur!CG113*Calculateur!CI113*VLOOKUP('Données projet'!$B$12,Paramètres!$A$1:$I$89,3,0)*0.475*44/12</f>
        <v>21.106526773887488</v>
      </c>
      <c r="CM113" s="21">
        <f>EXP(-LN(2)/2)*CM112+(1-EXP(-LN(2)/2))/(LN(2)/2)*CG113*CJ113*VLOOKUP('Données projet'!$B$12,Paramètres!$A$1:$I$89,3,0)*0.475*44/12</f>
        <v>1.0944425344634275E-5</v>
      </c>
      <c r="CN113" s="22">
        <f t="shared" si="66"/>
        <v>148.32806834720876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-1.064108801074326E-13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482.28841373508675</v>
      </c>
      <c r="T114" s="59">
        <f t="shared" si="88"/>
        <v>746.97309214631684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176.22566570927151</v>
      </c>
      <c r="AA114" s="21">
        <f>EXP(-LN(2)/25)*AA113+(1-EXP(-LN(2)/25))/(LN(2)/25)*Calculateur!V114*Calculateur!X114*VLOOKUP('Données projet'!$B$9,Paramètres!$A$1:$I$89,3,0)*0.475*44/12</f>
        <v>29.373802142846692</v>
      </c>
      <c r="AB114" s="21">
        <f>EXP(-LN(2)/2)*AB113+(1-EXP(-LN(2)/2))/(LN(2)/2)*V114*Y114*VLOOKUP('Données projet'!$B$9,Paramètres!$A$1:$I$89,3,0)*0.475*44/12</f>
        <v>4.4332692996229252E-4</v>
      </c>
      <c r="AC114" s="22">
        <f t="shared" si="57"/>
        <v>205.59991117904818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-5.3205440053716299E-14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259.91478350500478</v>
      </c>
      <c r="AO114" s="59">
        <f t="shared" si="90"/>
        <v>192.27194887051007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191.32402392811261</v>
      </c>
      <c r="AV114" s="21">
        <f>EXP(-LN(2)/25)*AV113+(1-EXP(-LN(2)/25))/(LN(2)/25)*Calculateur!AQ114*Calculateur!AS114*VLOOKUP('Données projet'!$B$10,Paramètres!$A$1:$I$89,3,0)*0.475*44/12</f>
        <v>39.928257863940971</v>
      </c>
      <c r="AW114" s="21">
        <f>EXP(-LN(2)/2)*AW113+(1-EXP(-LN(2)/2))/(LN(2)/2)*AQ114*AT114*VLOOKUP('Données projet'!$B$10,Paramètres!$A$1:$I$89,3,0)*0.475*44/12</f>
        <v>1.0542666230799114</v>
      </c>
      <c r="AX114" s="21">
        <f t="shared" si="60"/>
        <v>232.30654841513348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-1.3596945791505279E-13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284.60021367910457</v>
      </c>
      <c r="BJ114" s="59">
        <f t="shared" si="92"/>
        <v>301.41905904220812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80.961925800077807</v>
      </c>
      <c r="BQ114" s="21">
        <f>EXP(-LN(2)/25)*BQ113+(1-EXP(-LN(2)/25))/(LN(2)/25)*Calculateur!BL114*Calculateur!BN114*VLOOKUP('Données projet'!$B$11,Paramètres!$A$1:$I$89,3,0)*0.475*44/12</f>
        <v>13.027801221516322</v>
      </c>
      <c r="BR114" s="21">
        <f>EXP(-LN(2)/2)*BR113+(1-EXP(-LN(2)/2))/(LN(2)/2)*BL114*BO114*VLOOKUP('Données projet'!$B$11,Paramètres!$A$1:$I$89,3,0)*0.475*44/12</f>
        <v>5.9927993183476281E-6</v>
      </c>
      <c r="BS114" s="22">
        <f t="shared" si="63"/>
        <v>93.989733014393451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-3.4106051316484809E-13</v>
      </c>
      <c r="BZ114" s="13">
        <f>BY114*VLOOKUP('Données projet'!$B$12,Paramètres!$A$1:$I$89,3,0)*VLOOKUP('Données projet'!$B$12,Paramètres!$A$1:$I$89,5,0)</f>
        <v>-1.9065282685915009E-13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490.96084572840579</v>
      </c>
      <c r="CE114" s="59">
        <f t="shared" si="94"/>
        <v>597.91658789908263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124.72679401073484</v>
      </c>
      <c r="CL114" s="21">
        <f>EXP(-LN(2)/25)*CL113+(1-EXP(-LN(2)/25))/(LN(2)/25)*Calculateur!CG114*Calculateur!CI114*VLOOKUP('Données projet'!$B$12,Paramètres!$A$1:$I$89,3,0)*0.475*44/12</f>
        <v>20.529367689311531</v>
      </c>
      <c r="CM114" s="21">
        <f>EXP(-LN(2)/2)*CM113+(1-EXP(-LN(2)/2))/(LN(2)/2)*CG114*CJ114*VLOOKUP('Données projet'!$B$12,Paramètres!$A$1:$I$89,3,0)*0.475*44/12</f>
        <v>7.7388773773808134E-6</v>
      </c>
      <c r="CN114" s="22">
        <f t="shared" si="66"/>
        <v>145.25616943892373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-1.064108801074326E-13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482.28841373508675</v>
      </c>
      <c r="T115" s="59">
        <f t="shared" si="88"/>
        <v>746.97309214631684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172.76998789175531</v>
      </c>
      <c r="AA115" s="21">
        <f>EXP(-LN(2)/25)*AA114+(1-EXP(-LN(2)/25))/(LN(2)/25)*Calculateur!V115*Calculateur!X115*VLOOKUP('Données projet'!$B$9,Paramètres!$A$1:$I$89,3,0)*0.475*44/12</f>
        <v>28.570573978549429</v>
      </c>
      <c r="AB115" s="21">
        <f>EXP(-LN(2)/2)*AB114+(1-EXP(-LN(2)/2))/(LN(2)/2)*V115*Y115*VLOOKUP('Données projet'!$B$9,Paramètres!$A$1:$I$89,3,0)*0.475*44/12</f>
        <v>3.1347947845895065E-4</v>
      </c>
      <c r="AC115" s="22">
        <f t="shared" si="57"/>
        <v>201.34087534978318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-5.3205440053716299E-14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259.91478350500478</v>
      </c>
      <c r="AO115" s="59">
        <f t="shared" si="90"/>
        <v>192.27194887051007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187.57227651501412</v>
      </c>
      <c r="AV115" s="21">
        <f>EXP(-LN(2)/25)*AV114+(1-EXP(-LN(2)/25))/(LN(2)/25)*Calculateur!AQ115*Calculateur!AS115*VLOOKUP('Données projet'!$B$10,Paramètres!$A$1:$I$89,3,0)*0.475*44/12</f>
        <v>38.836417552915684</v>
      </c>
      <c r="AW115" s="21">
        <f>EXP(-LN(2)/2)*AW114+(1-EXP(-LN(2)/2))/(LN(2)/2)*AQ115*AT115*VLOOKUP('Données projet'!$B$10,Paramètres!$A$1:$I$89,3,0)*0.475*44/12</f>
        <v>0.74547907835844729</v>
      </c>
      <c r="AX115" s="21">
        <f t="shared" si="60"/>
        <v>227.15417314628826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-1.3596945791505279E-13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284.60021367910457</v>
      </c>
      <c r="BJ115" s="59">
        <f t="shared" si="92"/>
        <v>301.41905904220812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79.374311817036968</v>
      </c>
      <c r="BQ115" s="21">
        <f>EXP(-LN(2)/25)*BQ114+(1-EXP(-LN(2)/25))/(LN(2)/25)*Calculateur!BL115*Calculateur!BN115*VLOOKUP('Données projet'!$B$11,Paramètres!$A$1:$I$89,3,0)*0.475*44/12</f>
        <v>12.671555312011668</v>
      </c>
      <c r="BR115" s="21">
        <f>EXP(-LN(2)/2)*BR114+(1-EXP(-LN(2)/2))/(LN(2)/2)*BL115*BO115*VLOOKUP('Données projet'!$B$11,Paramètres!$A$1:$I$89,3,0)*0.475*44/12</f>
        <v>4.2375490362937274E-6</v>
      </c>
      <c r="BS115" s="22">
        <f t="shared" si="63"/>
        <v>92.045871366597666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-3.4106051316484809E-13</v>
      </c>
      <c r="BZ115" s="13">
        <f>BY115*VLOOKUP('Données projet'!$B$12,Paramètres!$A$1:$I$89,3,0)*VLOOKUP('Données projet'!$B$12,Paramètres!$A$1:$I$89,5,0)</f>
        <v>-1.9065282685915009E-13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490.96084572840579</v>
      </c>
      <c r="CE115" s="59">
        <f t="shared" si="94"/>
        <v>597.91658789908263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122.2809776560168</v>
      </c>
      <c r="CL115" s="21">
        <f>EXP(-LN(2)/25)*CL114+(1-EXP(-LN(2)/25))/(LN(2)/25)*Calculateur!CG115*Calculateur!CI115*VLOOKUP('Données projet'!$B$12,Paramètres!$A$1:$I$89,3,0)*0.475*44/12</f>
        <v>19.967991050254781</v>
      </c>
      <c r="CM115" s="21">
        <f>EXP(-LN(2)/2)*CM114+(1-EXP(-LN(2)/2))/(LN(2)/2)*CG115*CJ115*VLOOKUP('Données projet'!$B$12,Paramètres!$A$1:$I$89,3,0)*0.475*44/12</f>
        <v>5.4722126723171377E-6</v>
      </c>
      <c r="CN115" s="22">
        <f t="shared" si="66"/>
        <v>142.24897417848425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-1.064108801074326E-13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482.28841373508675</v>
      </c>
      <c r="T116" s="59">
        <f t="shared" si="88"/>
        <v>746.97309214631684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169.38207380848525</v>
      </c>
      <c r="AA116" s="21">
        <f>EXP(-LN(2)/25)*AA115+(1-EXP(-LN(2)/25))/(LN(2)/25)*Calculateur!V116*Calculateur!X116*VLOOKUP('Données projet'!$B$9,Paramètres!$A$1:$I$89,3,0)*0.475*44/12</f>
        <v>27.789310130644807</v>
      </c>
      <c r="AB116" s="21">
        <f>EXP(-LN(2)/2)*AB115+(1-EXP(-LN(2)/2))/(LN(2)/2)*V116*Y116*VLOOKUP('Données projet'!$B$9,Paramètres!$A$1:$I$89,3,0)*0.475*44/12</f>
        <v>2.2166346498114626E-4</v>
      </c>
      <c r="AC116" s="22">
        <f t="shared" si="57"/>
        <v>197.17160560259504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-5.3205440053716299E-14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259.91478350500478</v>
      </c>
      <c r="AO116" s="59">
        <f t="shared" si="90"/>
        <v>192.27194887051007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183.89409858034654</v>
      </c>
      <c r="AV116" s="21">
        <f>EXP(-LN(2)/25)*AV115+(1-EXP(-LN(2)/25))/(LN(2)/25)*Calculateur!AQ116*Calculateur!AS116*VLOOKUP('Données projet'!$B$10,Paramètres!$A$1:$I$89,3,0)*0.475*44/12</f>
        <v>37.774433672612766</v>
      </c>
      <c r="AW116" s="21">
        <f>EXP(-LN(2)/2)*AW115+(1-EXP(-LN(2)/2))/(LN(2)/2)*AQ116*AT116*VLOOKUP('Données projet'!$B$10,Paramètres!$A$1:$I$89,3,0)*0.475*44/12</f>
        <v>0.52713331153995568</v>
      </c>
      <c r="AX116" s="21">
        <f t="shared" si="60"/>
        <v>222.19566556449925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-1.3596945791505279E-13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284.60021367910457</v>
      </c>
      <c r="BJ116" s="59">
        <f t="shared" si="92"/>
        <v>301.41905904220812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77.817829975854636</v>
      </c>
      <c r="BQ116" s="21">
        <f>EXP(-LN(2)/25)*BQ115+(1-EXP(-LN(2)/25))/(LN(2)/25)*Calculateur!BL116*Calculateur!BN116*VLOOKUP('Données projet'!$B$11,Paramètres!$A$1:$I$89,3,0)*0.475*44/12</f>
        <v>12.325050965636576</v>
      </c>
      <c r="BR116" s="21">
        <f>EXP(-LN(2)/2)*BR115+(1-EXP(-LN(2)/2))/(LN(2)/2)*BL116*BO116*VLOOKUP('Données projet'!$B$11,Paramètres!$A$1:$I$89,3,0)*0.475*44/12</f>
        <v>2.9963996591738141E-6</v>
      </c>
      <c r="BS116" s="22">
        <f t="shared" si="63"/>
        <v>90.142883937890872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-3.4106051316484809E-13</v>
      </c>
      <c r="BZ116" s="13">
        <f>BY116*VLOOKUP('Données projet'!$B$12,Paramètres!$A$1:$I$89,3,0)*VLOOKUP('Données projet'!$B$12,Paramètres!$A$1:$I$89,5,0)</f>
        <v>-1.9065282685915009E-13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490.96084572840579</v>
      </c>
      <c r="CE116" s="59">
        <f t="shared" si="94"/>
        <v>597.91658789908263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119.88312226821412</v>
      </c>
      <c r="CL116" s="21">
        <f>EXP(-LN(2)/25)*CL115+(1-EXP(-LN(2)/25))/(LN(2)/25)*Calculateur!CG116*Calculateur!CI116*VLOOKUP('Données projet'!$B$12,Paramètres!$A$1:$I$89,3,0)*0.475*44/12</f>
        <v>19.421965284914553</v>
      </c>
      <c r="CM116" s="21">
        <f>EXP(-LN(2)/2)*CM115+(1-EXP(-LN(2)/2))/(LN(2)/2)*CG116*CJ116*VLOOKUP('Données projet'!$B$12,Paramètres!$A$1:$I$89,3,0)*0.475*44/12</f>
        <v>3.8694386886904067E-6</v>
      </c>
      <c r="CN116" s="22">
        <f t="shared" si="66"/>
        <v>139.30509142256739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-1.064108801074326E-13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482.28841373508675</v>
      </c>
      <c r="T117" s="59">
        <f t="shared" si="88"/>
        <v>746.97309214631684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166.06059465396459</v>
      </c>
      <c r="AA117" s="21">
        <f>EXP(-LN(2)/25)*AA116+(1-EXP(-LN(2)/25))/(LN(2)/25)*Calculateur!V117*Calculateur!X117*VLOOKUP('Données projet'!$B$9,Paramètres!$A$1:$I$89,3,0)*0.475*44/12</f>
        <v>27.029409983746017</v>
      </c>
      <c r="AB117" s="21">
        <f>EXP(-LN(2)/2)*AB116+(1-EXP(-LN(2)/2))/(LN(2)/2)*V117*Y117*VLOOKUP('Données projet'!$B$9,Paramètres!$A$1:$I$89,3,0)*0.475*44/12</f>
        <v>1.5673973922947533E-4</v>
      </c>
      <c r="AC117" s="22">
        <f t="shared" si="57"/>
        <v>193.09016137744982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-5.3205440053716299E-14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259.91478350500478</v>
      </c>
      <c r="AO117" s="59">
        <f t="shared" si="90"/>
        <v>192.27194887051007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180.28804747151077</v>
      </c>
      <c r="AV117" s="21">
        <f>EXP(-LN(2)/25)*AV116+(1-EXP(-LN(2)/25))/(LN(2)/25)*Calculateur!AQ117*Calculateur!AS117*VLOOKUP('Données projet'!$B$10,Paramètres!$A$1:$I$89,3,0)*0.475*44/12</f>
        <v>36.741489797364039</v>
      </c>
      <c r="AW117" s="21">
        <f>EXP(-LN(2)/2)*AW116+(1-EXP(-LN(2)/2))/(LN(2)/2)*AQ117*AT117*VLOOKUP('Données projet'!$B$10,Paramètres!$A$1:$I$89,3,0)*0.475*44/12</f>
        <v>0.37273953917922364</v>
      </c>
      <c r="AX117" s="21">
        <f t="shared" si="60"/>
        <v>217.40227680805404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-1.3596945791505279E-13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284.60021367910457</v>
      </c>
      <c r="BJ117" s="59">
        <f t="shared" si="92"/>
        <v>301.41905904220812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76.291869794217718</v>
      </c>
      <c r="BQ117" s="21">
        <f>EXP(-LN(2)/25)*BQ116+(1-EXP(-LN(2)/25))/(LN(2)/25)*Calculateur!BL117*Calculateur!BN117*VLOOKUP('Données projet'!$B$11,Paramètres!$A$1:$I$89,3,0)*0.475*44/12</f>
        <v>11.988021798834984</v>
      </c>
      <c r="BR117" s="21">
        <f>EXP(-LN(2)/2)*BR116+(1-EXP(-LN(2)/2))/(LN(2)/2)*BL117*BO117*VLOOKUP('Données projet'!$B$11,Paramètres!$A$1:$I$89,3,0)*0.475*44/12</f>
        <v>2.1187745181468637E-6</v>
      </c>
      <c r="BS117" s="22">
        <f t="shared" si="63"/>
        <v>88.279893711827214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-3.4106051316484809E-13</v>
      </c>
      <c r="BZ117" s="13">
        <f>BY117*VLOOKUP('Données projet'!$B$12,Paramètres!$A$1:$I$89,3,0)*VLOOKUP('Données projet'!$B$12,Paramètres!$A$1:$I$89,5,0)</f>
        <v>-1.9065282685915009E-13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490.96084572840579</v>
      </c>
      <c r="CE117" s="59">
        <f t="shared" si="94"/>
        <v>597.91658789908263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117.53228736201888</v>
      </c>
      <c r="CL117" s="21">
        <f>EXP(-LN(2)/25)*CL116+(1-EXP(-LN(2)/25))/(LN(2)/25)*Calculateur!CG117*Calculateur!CI117*VLOOKUP('Données projet'!$B$12,Paramètres!$A$1:$I$89,3,0)*0.475*44/12</f>
        <v>18.890870622841799</v>
      </c>
      <c r="CM117" s="21">
        <f>EXP(-LN(2)/2)*CM116+(1-EXP(-LN(2)/2))/(LN(2)/2)*CG117*CJ117*VLOOKUP('Données projet'!$B$12,Paramètres!$A$1:$I$89,3,0)*0.475*44/12</f>
        <v>2.7361063361585689E-6</v>
      </c>
      <c r="CN117" s="22">
        <f t="shared" si="66"/>
        <v>136.42316072096699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-1.064108801074326E-13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482.28841373508675</v>
      </c>
      <c r="T118" s="59">
        <f t="shared" si="88"/>
        <v>746.97309214631684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162.80424767976183</v>
      </c>
      <c r="AA118" s="21">
        <f>EXP(-LN(2)/25)*AA117+(1-EXP(-LN(2)/25))/(LN(2)/25)*Calculateur!V118*Calculateur!X118*VLOOKUP('Données projet'!$B$9,Paramètres!$A$1:$I$89,3,0)*0.475*44/12</f>
        <v>26.290289346325586</v>
      </c>
      <c r="AB118" s="21">
        <f>EXP(-LN(2)/2)*AB117+(1-EXP(-LN(2)/2))/(LN(2)/2)*V118*Y118*VLOOKUP('Données projet'!$B$9,Paramètres!$A$1:$I$89,3,0)*0.475*44/12</f>
        <v>1.1083173249057313E-4</v>
      </c>
      <c r="AC118" s="22">
        <f t="shared" si="57"/>
        <v>189.09464785781989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-5.3205440053716299E-14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259.91478350500478</v>
      </c>
      <c r="AO118" s="59">
        <f t="shared" si="90"/>
        <v>192.27194887051007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176.75270882544527</v>
      </c>
      <c r="AV118" s="21">
        <f>EXP(-LN(2)/25)*AV117+(1-EXP(-LN(2)/25))/(LN(2)/25)*Calculateur!AQ118*Calculateur!AS118*VLOOKUP('Données projet'!$B$10,Paramètres!$A$1:$I$89,3,0)*0.475*44/12</f>
        <v>35.736791826704142</v>
      </c>
      <c r="AW118" s="21">
        <f>EXP(-LN(2)/2)*AW117+(1-EXP(-LN(2)/2))/(LN(2)/2)*AQ118*AT118*VLOOKUP('Données projet'!$B$10,Paramètres!$A$1:$I$89,3,0)*0.475*44/12</f>
        <v>0.26356665576997784</v>
      </c>
      <c r="AX118" s="21">
        <f t="shared" si="60"/>
        <v>212.75306730791939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-1.3596945791505279E-13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284.60021367910457</v>
      </c>
      <c r="BJ118" s="59">
        <f t="shared" si="92"/>
        <v>301.41905904220812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74.795832760998891</v>
      </c>
      <c r="BQ118" s="21">
        <f>EXP(-LN(2)/25)*BQ117+(1-EXP(-LN(2)/25))/(LN(2)/25)*Calculateur!BL118*Calculateur!BN118*VLOOKUP('Données projet'!$B$11,Paramètres!$A$1:$I$89,3,0)*0.475*44/12</f>
        <v>11.660208712323174</v>
      </c>
      <c r="BR118" s="21">
        <f>EXP(-LN(2)/2)*BR117+(1-EXP(-LN(2)/2))/(LN(2)/2)*BL118*BO118*VLOOKUP('Données projet'!$B$11,Paramètres!$A$1:$I$89,3,0)*0.475*44/12</f>
        <v>1.498199829586907E-6</v>
      </c>
      <c r="BS118" s="22">
        <f t="shared" si="63"/>
        <v>86.456042971521896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-3.4106051316484809E-13</v>
      </c>
      <c r="BZ118" s="13">
        <f>BY118*VLOOKUP('Données projet'!$B$12,Paramètres!$A$1:$I$89,3,0)*VLOOKUP('Données projet'!$B$12,Paramètres!$A$1:$I$89,5,0)</f>
        <v>-1.9065282685915009E-13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490.96084572840579</v>
      </c>
      <c r="CE118" s="59">
        <f t="shared" si="94"/>
        <v>597.91658789908263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115.22755089446642</v>
      </c>
      <c r="CL118" s="21">
        <f>EXP(-LN(2)/25)*CL117+(1-EXP(-LN(2)/25))/(LN(2)/25)*Calculateur!CG118*Calculateur!CI118*VLOOKUP('Données projet'!$B$12,Paramètres!$A$1:$I$89,3,0)*0.475*44/12</f>
        <v>18.374298772232478</v>
      </c>
      <c r="CM118" s="21">
        <f>EXP(-LN(2)/2)*CM117+(1-EXP(-LN(2)/2))/(LN(2)/2)*CG118*CJ118*VLOOKUP('Données projet'!$B$12,Paramètres!$A$1:$I$89,3,0)*0.475*44/12</f>
        <v>1.9347193443452034E-6</v>
      </c>
      <c r="CN118" s="22">
        <f t="shared" si="66"/>
        <v>133.60185160141825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-1.064108801074326E-13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482.28841373508675</v>
      </c>
      <c r="T119" s="59">
        <f t="shared" si="88"/>
        <v>746.97309214631684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159.61175568354764</v>
      </c>
      <c r="AA119" s="21">
        <f>EXP(-LN(2)/25)*AA118+(1-EXP(-LN(2)/25))/(LN(2)/25)*Calculateur!V119*Calculateur!X119*VLOOKUP('Données projet'!$B$9,Paramètres!$A$1:$I$89,3,0)*0.475*44/12</f>
        <v>25.571380001604084</v>
      </c>
      <c r="AB119" s="21">
        <f>EXP(-LN(2)/2)*AB118+(1-EXP(-LN(2)/2))/(LN(2)/2)*V119*Y119*VLOOKUP('Données projet'!$B$9,Paramètres!$A$1:$I$89,3,0)*0.475*44/12</f>
        <v>7.8369869614737663E-5</v>
      </c>
      <c r="AC119" s="22">
        <f t="shared" si="57"/>
        <v>185.18321405502135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-5.3205440053716299E-14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259.91478350500478</v>
      </c>
      <c r="AO119" s="59">
        <f t="shared" si="90"/>
        <v>192.27194887051007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173.28669601388546</v>
      </c>
      <c r="AV119" s="21">
        <f>EXP(-LN(2)/25)*AV118+(1-EXP(-LN(2)/25))/(LN(2)/25)*Calculateur!AQ119*Calculateur!AS119*VLOOKUP('Données projet'!$B$10,Paramètres!$A$1:$I$89,3,0)*0.475*44/12</f>
        <v>34.759567374886714</v>
      </c>
      <c r="AW119" s="21">
        <f>EXP(-LN(2)/2)*AW118+(1-EXP(-LN(2)/2))/(LN(2)/2)*AQ119*AT119*VLOOKUP('Données projet'!$B$10,Paramètres!$A$1:$I$89,3,0)*0.475*44/12</f>
        <v>0.18636976958961182</v>
      </c>
      <c r="AX119" s="21">
        <f t="shared" si="60"/>
        <v>208.23263315836178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-1.3596945791505279E-13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284.60021367910457</v>
      </c>
      <c r="BJ119" s="59">
        <f t="shared" si="92"/>
        <v>301.41905904220812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73.329132101508989</v>
      </c>
      <c r="BQ119" s="21">
        <f>EXP(-LN(2)/25)*BQ118+(1-EXP(-LN(2)/25))/(LN(2)/25)*Calculateur!BL119*Calculateur!BN119*VLOOKUP('Données projet'!$B$11,Paramètres!$A$1:$I$89,3,0)*0.475*44/12</f>
        <v>11.341359691900971</v>
      </c>
      <c r="BR119" s="21">
        <f>EXP(-LN(2)/2)*BR118+(1-EXP(-LN(2)/2))/(LN(2)/2)*BL119*BO119*VLOOKUP('Données projet'!$B$11,Paramètres!$A$1:$I$89,3,0)*0.475*44/12</f>
        <v>1.0593872590734318E-6</v>
      </c>
      <c r="BS119" s="22">
        <f t="shared" si="63"/>
        <v>84.670492852797224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-3.4106051316484809E-13</v>
      </c>
      <c r="BZ119" s="13">
        <f>BY119*VLOOKUP('Données projet'!$B$12,Paramètres!$A$1:$I$89,3,0)*VLOOKUP('Données projet'!$B$12,Paramètres!$A$1:$I$89,5,0)</f>
        <v>-1.9065282685915009E-13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490.96084572840579</v>
      </c>
      <c r="CE119" s="59">
        <f t="shared" si="94"/>
        <v>597.91658789908263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112.96800890329222</v>
      </c>
      <c r="CL119" s="21">
        <f>EXP(-LN(2)/25)*CL118+(1-EXP(-LN(2)/25))/(LN(2)/25)*Calculateur!CG119*Calculateur!CI119*VLOOKUP('Données projet'!$B$12,Paramètres!$A$1:$I$89,3,0)*0.475*44/12</f>
        <v>17.871852606043404</v>
      </c>
      <c r="CM119" s="21">
        <f>EXP(-LN(2)/2)*CM118+(1-EXP(-LN(2)/2))/(LN(2)/2)*CG119*CJ119*VLOOKUP('Données projet'!$B$12,Paramètres!$A$1:$I$89,3,0)*0.475*44/12</f>
        <v>1.3680531680792844E-6</v>
      </c>
      <c r="CN119" s="22">
        <f t="shared" si="66"/>
        <v>130.83986287738878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-1.064108801074326E-13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482.28841373508675</v>
      </c>
      <c r="T120" s="59">
        <f t="shared" si="88"/>
        <v>746.97309214631684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156.48186650815137</v>
      </c>
      <c r="AA120" s="21">
        <f>EXP(-LN(2)/25)*AA119+(1-EXP(-LN(2)/25))/(LN(2)/25)*Calculateur!V120*Calculateur!X120*VLOOKUP('Données projet'!$B$9,Paramètres!$A$1:$I$89,3,0)*0.475*44/12</f>
        <v>24.872129270719789</v>
      </c>
      <c r="AB120" s="21">
        <f>EXP(-LN(2)/2)*AB119+(1-EXP(-LN(2)/2))/(LN(2)/2)*V120*Y120*VLOOKUP('Données projet'!$B$9,Paramètres!$A$1:$I$89,3,0)*0.475*44/12</f>
        <v>5.5415866245286565E-5</v>
      </c>
      <c r="AC120" s="22">
        <f t="shared" si="57"/>
        <v>181.35405119473742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-5.3205440053716299E-14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259.91478350500478</v>
      </c>
      <c r="AO120" s="59">
        <f t="shared" si="90"/>
        <v>192.27194887051007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169.88864959950126</v>
      </c>
      <c r="AV120" s="21">
        <f>EXP(-LN(2)/25)*AV119+(1-EXP(-LN(2)/25))/(LN(2)/25)*Calculateur!AQ120*Calculateur!AS120*VLOOKUP('Données projet'!$B$10,Paramètres!$A$1:$I$89,3,0)*0.475*44/12</f>
        <v>33.809065177094233</v>
      </c>
      <c r="AW120" s="21">
        <f>EXP(-LN(2)/2)*AW119+(1-EXP(-LN(2)/2))/(LN(2)/2)*AQ120*AT120*VLOOKUP('Données projet'!$B$10,Paramètres!$A$1:$I$89,3,0)*0.475*44/12</f>
        <v>0.13178332788498892</v>
      </c>
      <c r="AX120" s="21">
        <f t="shared" si="60"/>
        <v>203.82949810448048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-1.3596945791505279E-13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284.60021367910457</v>
      </c>
      <c r="BJ120" s="59">
        <f t="shared" si="92"/>
        <v>301.41905904220812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71.891192547352617</v>
      </c>
      <c r="BQ120" s="21">
        <f>EXP(-LN(2)/25)*BQ119+(1-EXP(-LN(2)/25))/(LN(2)/25)*Calculateur!BL120*Calculateur!BN120*VLOOKUP('Données projet'!$B$11,Paramètres!$A$1:$I$89,3,0)*0.475*44/12</f>
        <v>11.031229614709753</v>
      </c>
      <c r="BR120" s="21">
        <f>EXP(-LN(2)/2)*BR119+(1-EXP(-LN(2)/2))/(LN(2)/2)*BL120*BO120*VLOOKUP('Données projet'!$B$11,Paramètres!$A$1:$I$89,3,0)*0.475*44/12</f>
        <v>7.4909991479345352E-7</v>
      </c>
      <c r="BS120" s="22">
        <f t="shared" si="63"/>
        <v>82.922422911162286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-3.4106051316484809E-13</v>
      </c>
      <c r="BZ120" s="13">
        <f>BY120*VLOOKUP('Données projet'!$B$12,Paramètres!$A$1:$I$89,3,0)*VLOOKUP('Données projet'!$B$12,Paramètres!$A$1:$I$89,5,0)</f>
        <v>-1.9065282685915009E-13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490.96084572840579</v>
      </c>
      <c r="CE120" s="59">
        <f t="shared" si="94"/>
        <v>597.91658789908263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110.75277515238041</v>
      </c>
      <c r="CL120" s="21">
        <f>EXP(-LN(2)/25)*CL119+(1-EXP(-LN(2)/25))/(LN(2)/25)*Calculateur!CG120*Calculateur!CI120*VLOOKUP('Données projet'!$B$12,Paramètres!$A$1:$I$89,3,0)*0.475*44/12</f>
        <v>17.383145856691264</v>
      </c>
      <c r="CM120" s="21">
        <f>EXP(-LN(2)/2)*CM119+(1-EXP(-LN(2)/2))/(LN(2)/2)*CG120*CJ120*VLOOKUP('Données projet'!$B$12,Paramètres!$A$1:$I$89,3,0)*0.475*44/12</f>
        <v>9.6735967217260168E-7</v>
      </c>
      <c r="CN120" s="22">
        <f t="shared" si="66"/>
        <v>128.13592197643135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-1.064108801074326E-13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482.28841373508675</v>
      </c>
      <c r="T121" s="59">
        <f t="shared" si="88"/>
        <v>746.97309214631684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153.41335255044072</v>
      </c>
      <c r="AA121" s="21">
        <f>EXP(-LN(2)/25)*AA120+(1-EXP(-LN(2)/25))/(LN(2)/25)*Calculateur!V121*Calculateur!X121*VLOOKUP('Données projet'!$B$9,Paramètres!$A$1:$I$89,3,0)*0.475*44/12</f>
        <v>24.191999587843522</v>
      </c>
      <c r="AB121" s="21">
        <f>EXP(-LN(2)/2)*AB120+(1-EXP(-LN(2)/2))/(LN(2)/2)*V121*Y121*VLOOKUP('Données projet'!$B$9,Paramètres!$A$1:$I$89,3,0)*0.475*44/12</f>
        <v>3.9184934807368832E-5</v>
      </c>
      <c r="AC121" s="22">
        <f t="shared" si="57"/>
        <v>177.60539132321907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-5.3205440053716299E-14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259.91478350500478</v>
      </c>
      <c r="AO121" s="59">
        <f t="shared" si="90"/>
        <v>192.27194887051007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166.55723680269949</v>
      </c>
      <c r="AV121" s="21">
        <f>EXP(-LN(2)/25)*AV120+(1-EXP(-LN(2)/25))/(LN(2)/25)*Calculateur!AQ121*Calculateur!AS121*VLOOKUP('Données projet'!$B$10,Paramètres!$A$1:$I$89,3,0)*0.475*44/12</f>
        <v>32.884554511885128</v>
      </c>
      <c r="AW121" s="21">
        <f>EXP(-LN(2)/2)*AW120+(1-EXP(-LN(2)/2))/(LN(2)/2)*AQ121*AT121*VLOOKUP('Données projet'!$B$10,Paramètres!$A$1:$I$89,3,0)*0.475*44/12</f>
        <v>9.3184884794805911E-2</v>
      </c>
      <c r="AX121" s="21">
        <f t="shared" si="60"/>
        <v>199.53497619937943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-1.3596945791505279E-13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284.60021367910457</v>
      </c>
      <c r="BJ121" s="59">
        <f t="shared" si="92"/>
        <v>301.41905904220812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70.481450110796729</v>
      </c>
      <c r="BQ121" s="21">
        <f>EXP(-LN(2)/25)*BQ120+(1-EXP(-LN(2)/25))/(LN(2)/25)*Calculateur!BL121*Calculateur!BN121*VLOOKUP('Données projet'!$B$11,Paramètres!$A$1:$I$89,3,0)*0.475*44/12</f>
        <v>10.729580060788361</v>
      </c>
      <c r="BR121" s="21">
        <f>EXP(-LN(2)/2)*BR120+(1-EXP(-LN(2)/2))/(LN(2)/2)*BL121*BO121*VLOOKUP('Données projet'!$B$11,Paramètres!$A$1:$I$89,3,0)*0.475*44/12</f>
        <v>5.2969362953671592E-7</v>
      </c>
      <c r="BS121" s="22">
        <f t="shared" si="63"/>
        <v>81.21103070127873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-3.4106051316484809E-13</v>
      </c>
      <c r="BZ121" s="13">
        <f>BY121*VLOOKUP('Données projet'!$B$12,Paramètres!$A$1:$I$89,3,0)*VLOOKUP('Données projet'!$B$12,Paramètres!$A$1:$I$89,5,0)</f>
        <v>-1.9065282685915009E-13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490.96084572840579</v>
      </c>
      <c r="CE121" s="59">
        <f t="shared" si="94"/>
        <v>597.91658789908263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108.58098078416481</v>
      </c>
      <c r="CL121" s="21">
        <f>EXP(-LN(2)/25)*CL120+(1-EXP(-LN(2)/25))/(LN(2)/25)*Calculateur!CG121*Calculateur!CI121*VLOOKUP('Données projet'!$B$12,Paramètres!$A$1:$I$89,3,0)*0.475*44/12</f>
        <v>16.90780281910013</v>
      </c>
      <c r="CM121" s="21">
        <f>EXP(-LN(2)/2)*CM120+(1-EXP(-LN(2)/2))/(LN(2)/2)*CG121*CJ121*VLOOKUP('Données projet'!$B$12,Paramètres!$A$1:$I$89,3,0)*0.475*44/12</f>
        <v>6.8402658403964221E-7</v>
      </c>
      <c r="CN121" s="22">
        <f t="shared" si="66"/>
        <v>125.48878428729152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-1.064108801074326E-13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482.28841373508675</v>
      </c>
      <c r="T122" s="59">
        <f t="shared" si="88"/>
        <v>746.97309214631684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150.40501027983208</v>
      </c>
      <c r="AA122" s="21">
        <f>EXP(-LN(2)/25)*AA121+(1-EXP(-LN(2)/25))/(LN(2)/25)*Calculateur!V122*Calculateur!X122*VLOOKUP('Données projet'!$B$9,Paramètres!$A$1:$I$89,3,0)*0.475*44/12</f>
        <v>23.530468086911974</v>
      </c>
      <c r="AB122" s="21">
        <f>EXP(-LN(2)/2)*AB121+(1-EXP(-LN(2)/2))/(LN(2)/2)*V122*Y122*VLOOKUP('Données projet'!$B$9,Paramètres!$A$1:$I$89,3,0)*0.475*44/12</f>
        <v>2.7707933122643283E-5</v>
      </c>
      <c r="AC122" s="22">
        <f t="shared" si="57"/>
        <v>173.93550607467719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-5.3205440053716299E-14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259.91478350500478</v>
      </c>
      <c r="AO122" s="59">
        <f t="shared" si="90"/>
        <v>192.27194887051007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163.29115097888183</v>
      </c>
      <c r="AV122" s="21">
        <f>EXP(-LN(2)/25)*AV121+(1-EXP(-LN(2)/25))/(LN(2)/25)*Calculateur!AQ122*Calculateur!AS122*VLOOKUP('Données projet'!$B$10,Paramètres!$A$1:$I$89,3,0)*0.475*44/12</f>
        <v>31.985324639434065</v>
      </c>
      <c r="AW122" s="21">
        <f>EXP(-LN(2)/2)*AW121+(1-EXP(-LN(2)/2))/(LN(2)/2)*AQ122*AT122*VLOOKUP('Données projet'!$B$10,Paramètres!$A$1:$I$89,3,0)*0.475*44/12</f>
        <v>6.5891663942494461E-2</v>
      </c>
      <c r="AX122" s="21">
        <f t="shared" si="60"/>
        <v>195.34236728225838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-1.3596945791505279E-13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284.60021367910457</v>
      </c>
      <c r="BJ122" s="59">
        <f t="shared" si="92"/>
        <v>301.41905904220812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69.099351863563712</v>
      </c>
      <c r="BQ122" s="21">
        <f>EXP(-LN(2)/25)*BQ121+(1-EXP(-LN(2)/25))/(LN(2)/25)*Calculateur!BL122*Calculateur!BN122*VLOOKUP('Données projet'!$B$11,Paramètres!$A$1:$I$89,3,0)*0.475*44/12</f>
        <v>10.43617912978201</v>
      </c>
      <c r="BR122" s="21">
        <f>EXP(-LN(2)/2)*BR121+(1-EXP(-LN(2)/2))/(LN(2)/2)*BL122*BO122*VLOOKUP('Données projet'!$B$11,Paramètres!$A$1:$I$89,3,0)*0.475*44/12</f>
        <v>3.7454995739672676E-7</v>
      </c>
      <c r="BS122" s="22">
        <f t="shared" si="63"/>
        <v>79.535531367895672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-3.4106051316484809E-13</v>
      </c>
      <c r="BZ122" s="13">
        <f>BY122*VLOOKUP('Données projet'!$B$12,Paramètres!$A$1:$I$89,3,0)*VLOOKUP('Données projet'!$B$12,Paramètres!$A$1:$I$89,5,0)</f>
        <v>-1.9065282685915009E-13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490.96084572840579</v>
      </c>
      <c r="CE122" s="59">
        <f t="shared" si="94"/>
        <v>597.91658789908263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106.45177397884616</v>
      </c>
      <c r="CL122" s="21">
        <f>EXP(-LN(2)/25)*CL121+(1-EXP(-LN(2)/25))/(LN(2)/25)*Calculateur!CG122*Calculateur!CI122*VLOOKUP('Données projet'!$B$12,Paramètres!$A$1:$I$89,3,0)*0.475*44/12</f>
        <v>16.445458061869129</v>
      </c>
      <c r="CM122" s="21">
        <f>EXP(-LN(2)/2)*CM121+(1-EXP(-LN(2)/2))/(LN(2)/2)*CG122*CJ122*VLOOKUP('Données projet'!$B$12,Paramètres!$A$1:$I$89,3,0)*0.475*44/12</f>
        <v>4.8367983608630084E-7</v>
      </c>
      <c r="CN122" s="22">
        <f t="shared" si="66"/>
        <v>122.89723252439514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-1.064108801074326E-13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482.28841373508675</v>
      </c>
      <c r="T123" s="59">
        <f t="shared" si="88"/>
        <v>746.97309214631684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147.45565976624246</v>
      </c>
      <c r="AA123" s="21">
        <f>EXP(-LN(2)/25)*AA122+(1-EXP(-LN(2)/25))/(LN(2)/25)*Calculateur!V123*Calculateur!X123*VLOOKUP('Données projet'!$B$9,Paramètres!$A$1:$I$89,3,0)*0.475*44/12</f>
        <v>22.887026199661829</v>
      </c>
      <c r="AB123" s="21">
        <f>EXP(-LN(2)/2)*AB122+(1-EXP(-LN(2)/2))/(LN(2)/2)*V123*Y123*VLOOKUP('Données projet'!$B$9,Paramètres!$A$1:$I$89,3,0)*0.475*44/12</f>
        <v>1.9592467403684416E-5</v>
      </c>
      <c r="AC123" s="22">
        <f t="shared" si="57"/>
        <v>170.34270555837168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-5.3205440053716299E-14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259.91478350500478</v>
      </c>
      <c r="AO123" s="59">
        <f t="shared" si="90"/>
        <v>192.27194887051007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160.08911110595361</v>
      </c>
      <c r="AV123" s="21">
        <f>EXP(-LN(2)/25)*AV122+(1-EXP(-LN(2)/25))/(LN(2)/25)*Calculateur!AQ123*Calculateur!AS123*VLOOKUP('Données projet'!$B$10,Paramètres!$A$1:$I$89,3,0)*0.475*44/12</f>
        <v>31.11068425513362</v>
      </c>
      <c r="AW123" s="21">
        <f>EXP(-LN(2)/2)*AW122+(1-EXP(-LN(2)/2))/(LN(2)/2)*AQ123*AT123*VLOOKUP('Données projet'!$B$10,Paramètres!$A$1:$I$89,3,0)*0.475*44/12</f>
        <v>4.6592442397402956E-2</v>
      </c>
      <c r="AX123" s="21">
        <f t="shared" si="60"/>
        <v>191.24638780348465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-1.3596945791505279E-13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284.60021367910457</v>
      </c>
      <c r="BJ123" s="59">
        <f t="shared" si="92"/>
        <v>301.41905904220812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67.744355719962243</v>
      </c>
      <c r="BQ123" s="21">
        <f>EXP(-LN(2)/25)*BQ122+(1-EXP(-LN(2)/25))/(LN(2)/25)*Calculateur!BL123*Calculateur!BN123*VLOOKUP('Données projet'!$B$11,Paramètres!$A$1:$I$89,3,0)*0.475*44/12</f>
        <v>10.150801262663313</v>
      </c>
      <c r="BR123" s="21">
        <f>EXP(-LN(2)/2)*BR122+(1-EXP(-LN(2)/2))/(LN(2)/2)*BL123*BO123*VLOOKUP('Données projet'!$B$11,Paramètres!$A$1:$I$89,3,0)*0.475*44/12</f>
        <v>2.6484681476835796E-7</v>
      </c>
      <c r="BS123" s="22">
        <f t="shared" si="63"/>
        <v>77.895157247472369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-3.4106051316484809E-13</v>
      </c>
      <c r="BZ123" s="13">
        <f>BY123*VLOOKUP('Données projet'!$B$12,Paramètres!$A$1:$I$89,3,0)*VLOOKUP('Données projet'!$B$12,Paramètres!$A$1:$I$89,5,0)</f>
        <v>-1.9065282685915009E-13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490.96084572840579</v>
      </c>
      <c r="CE123" s="59">
        <f t="shared" si="94"/>
        <v>597.91658789908263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104.36431962029189</v>
      </c>
      <c r="CL123" s="21">
        <f>EXP(-LN(2)/25)*CL122+(1-EXP(-LN(2)/25))/(LN(2)/25)*Calculateur!CG123*Calculateur!CI123*VLOOKUP('Données projet'!$B$12,Paramètres!$A$1:$I$89,3,0)*0.475*44/12</f>
        <v>15.995756146338264</v>
      </c>
      <c r="CM123" s="21">
        <f>EXP(-LN(2)/2)*CM122+(1-EXP(-LN(2)/2))/(LN(2)/2)*CG123*CJ123*VLOOKUP('Données projet'!$B$12,Paramètres!$A$1:$I$89,3,0)*0.475*44/12</f>
        <v>3.4201329201982111E-7</v>
      </c>
      <c r="CN123" s="22">
        <f t="shared" si="66"/>
        <v>120.36007610864345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-1.064108801074326E-13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482.28841373508675</v>
      </c>
      <c r="T124" s="59">
        <f t="shared" si="88"/>
        <v>746.97309214631684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144.56414421729815</v>
      </c>
      <c r="AA124" s="21">
        <f>EXP(-LN(2)/25)*AA123+(1-EXP(-LN(2)/25))/(LN(2)/25)*Calculateur!V124*Calculateur!X124*VLOOKUP('Données projet'!$B$9,Paramètres!$A$1:$I$89,3,0)*0.475*44/12</f>
        <v>22.261179264655677</v>
      </c>
      <c r="AB124" s="21">
        <f>EXP(-LN(2)/2)*AB123+(1-EXP(-LN(2)/2))/(LN(2)/2)*V124*Y124*VLOOKUP('Données projet'!$B$9,Paramètres!$A$1:$I$89,3,0)*0.475*44/12</f>
        <v>1.3853966561321641E-5</v>
      </c>
      <c r="AC124" s="22">
        <f t="shared" si="57"/>
        <v>166.82533733592038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-5.3205440053716299E-14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259.91478350500478</v>
      </c>
      <c r="AO124" s="59">
        <f t="shared" si="90"/>
        <v>192.27194887051007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156.94986128188202</v>
      </c>
      <c r="AV124" s="21">
        <f>EXP(-LN(2)/25)*AV123+(1-EXP(-LN(2)/25))/(LN(2)/25)*Calculateur!AQ124*Calculateur!AS124*VLOOKUP('Données projet'!$B$10,Paramètres!$A$1:$I$89,3,0)*0.475*44/12</f>
        <v>30.25996095813721</v>
      </c>
      <c r="AW124" s="21">
        <f>EXP(-LN(2)/2)*AW123+(1-EXP(-LN(2)/2))/(LN(2)/2)*AQ124*AT124*VLOOKUP('Données projet'!$B$10,Paramètres!$A$1:$I$89,3,0)*0.475*44/12</f>
        <v>3.294583197124723E-2</v>
      </c>
      <c r="AX124" s="21">
        <f t="shared" si="60"/>
        <v>187.2427680719905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-1.3596945791505279E-13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284.60021367910457</v>
      </c>
      <c r="BJ124" s="59">
        <f t="shared" si="92"/>
        <v>301.41905904220812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66.415930224270767</v>
      </c>
      <c r="BQ124" s="21">
        <f>EXP(-LN(2)/25)*BQ123+(1-EXP(-LN(2)/25))/(LN(2)/25)*Calculateur!BL124*Calculateur!BN124*VLOOKUP('Données projet'!$B$11,Paramètres!$A$1:$I$89,3,0)*0.475*44/12</f>
        <v>9.8732270683283456</v>
      </c>
      <c r="BR124" s="21">
        <f>EXP(-LN(2)/2)*BR123+(1-EXP(-LN(2)/2))/(LN(2)/2)*BL124*BO124*VLOOKUP('Données projet'!$B$11,Paramètres!$A$1:$I$89,3,0)*0.475*44/12</f>
        <v>1.8727497869836338E-7</v>
      </c>
      <c r="BS124" s="22">
        <f t="shared" si="63"/>
        <v>76.289157479874092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-3.4106051316484809E-13</v>
      </c>
      <c r="BZ124" s="13">
        <f>BY124*VLOOKUP('Données projet'!$B$12,Paramètres!$A$1:$I$89,3,0)*VLOOKUP('Données projet'!$B$12,Paramètres!$A$1:$I$89,5,0)</f>
        <v>-1.9065282685915009E-13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490.96084572840579</v>
      </c>
      <c r="CE124" s="59">
        <f t="shared" si="94"/>
        <v>597.91658789908263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102.31779896848744</v>
      </c>
      <c r="CL124" s="21">
        <f>EXP(-LN(2)/25)*CL123+(1-EXP(-LN(2)/25))/(LN(2)/25)*Calculateur!CG124*Calculateur!CI124*VLOOKUP('Données projet'!$B$12,Paramètres!$A$1:$I$89,3,0)*0.475*44/12</f>
        <v>15.558351353336388</v>
      </c>
      <c r="CM124" s="21">
        <f>EXP(-LN(2)/2)*CM123+(1-EXP(-LN(2)/2))/(LN(2)/2)*CG124*CJ124*VLOOKUP('Données projet'!$B$12,Paramètres!$A$1:$I$89,3,0)*0.475*44/12</f>
        <v>2.4183991804315042E-7</v>
      </c>
      <c r="CN124" s="22">
        <f t="shared" si="66"/>
        <v>117.87615056366374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-1.064108801074326E-13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482.28841373508675</v>
      </c>
      <c r="T125" s="59">
        <f t="shared" si="88"/>
        <v>746.97309214631684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141.72932952461829</v>
      </c>
      <c r="AA125" s="21">
        <f>EXP(-LN(2)/25)*AA124+(1-EXP(-LN(2)/25))/(LN(2)/25)*Calculateur!V125*Calculateur!X125*VLOOKUP('Données projet'!$B$9,Paramètres!$A$1:$I$89,3,0)*0.475*44/12</f>
        <v>21.652446146999129</v>
      </c>
      <c r="AB125" s="21">
        <f>EXP(-LN(2)/2)*AB124+(1-EXP(-LN(2)/2))/(LN(2)/2)*V125*Y125*VLOOKUP('Données projet'!$B$9,Paramètres!$A$1:$I$89,3,0)*0.475*44/12</f>
        <v>9.7962337018422079E-6</v>
      </c>
      <c r="AC125" s="22">
        <f t="shared" si="57"/>
        <v>163.38178546785113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-5.3205440053716299E-14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259.91478350500478</v>
      </c>
      <c r="AO125" s="59">
        <f t="shared" si="90"/>
        <v>192.27194887051007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153.87217023210715</v>
      </c>
      <c r="AV125" s="21">
        <f>EXP(-LN(2)/25)*AV124+(1-EXP(-LN(2)/25))/(LN(2)/25)*Calculateur!AQ125*Calculateur!AS125*VLOOKUP('Données projet'!$B$10,Paramètres!$A$1:$I$89,3,0)*0.475*44/12</f>
        <v>29.432500734434761</v>
      </c>
      <c r="AW125" s="21">
        <f>EXP(-LN(2)/2)*AW124+(1-EXP(-LN(2)/2))/(LN(2)/2)*AQ125*AT125*VLOOKUP('Données projet'!$B$10,Paramètres!$A$1:$I$89,3,0)*0.475*44/12</f>
        <v>2.3296221198701478E-2</v>
      </c>
      <c r="AX125" s="21">
        <f t="shared" si="60"/>
        <v>183.32796718774063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-1.3596945791505279E-13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284.60021367910457</v>
      </c>
      <c r="BJ125" s="59">
        <f t="shared" si="92"/>
        <v>301.41905904220812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65.113554342290257</v>
      </c>
      <c r="BQ125" s="21">
        <f>EXP(-LN(2)/25)*BQ124+(1-EXP(-LN(2)/25))/(LN(2)/25)*Calculateur!BL125*Calculateur!BN125*VLOOKUP('Données projet'!$B$11,Paramètres!$A$1:$I$89,3,0)*0.475*44/12</f>
        <v>9.6032431549344608</v>
      </c>
      <c r="BR125" s="21">
        <f>EXP(-LN(2)/2)*BR124+(1-EXP(-LN(2)/2))/(LN(2)/2)*BL125*BO125*VLOOKUP('Données projet'!$B$11,Paramètres!$A$1:$I$89,3,0)*0.475*44/12</f>
        <v>1.3242340738417898E-7</v>
      </c>
      <c r="BS125" s="22">
        <f t="shared" si="63"/>
        <v>74.716797629648127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-3.4106051316484809E-13</v>
      </c>
      <c r="BZ125" s="13">
        <f>BY125*VLOOKUP('Données projet'!$B$12,Paramètres!$A$1:$I$89,3,0)*VLOOKUP('Données projet'!$B$12,Paramètres!$A$1:$I$89,5,0)</f>
        <v>-1.9065282685915009E-13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490.96084572840579</v>
      </c>
      <c r="CE125" s="59">
        <f t="shared" si="94"/>
        <v>597.91658789908263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100.31140933841053</v>
      </c>
      <c r="CL125" s="21">
        <f>EXP(-LN(2)/25)*CL124+(1-EXP(-LN(2)/25))/(LN(2)/25)*Calculateur!CG125*Calculateur!CI125*VLOOKUP('Données projet'!$B$12,Paramètres!$A$1:$I$89,3,0)*0.475*44/12</f>
        <v>15.132907417401265</v>
      </c>
      <c r="CM125" s="21">
        <f>EXP(-LN(2)/2)*CM124+(1-EXP(-LN(2)/2))/(LN(2)/2)*CG125*CJ125*VLOOKUP('Données projet'!$B$12,Paramètres!$A$1:$I$89,3,0)*0.475*44/12</f>
        <v>1.7100664600991055E-7</v>
      </c>
      <c r="CN125" s="22">
        <f t="shared" si="66"/>
        <v>115.44431692681844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-1.064108801074326E-13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482.28841373508675</v>
      </c>
      <c r="T126" s="59">
        <f t="shared" si="88"/>
        <v>746.97309214631684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138.95010381899567</v>
      </c>
      <c r="AA126" s="21">
        <f>EXP(-LN(2)/25)*AA125+(1-EXP(-LN(2)/25))/(LN(2)/25)*Calculateur!V126*Calculateur!X126*VLOOKUP('Données projet'!$B$9,Paramètres!$A$1:$I$89,3,0)*0.475*44/12</f>
        <v>21.060358868456781</v>
      </c>
      <c r="AB126" s="21">
        <f>EXP(-LN(2)/2)*AB125+(1-EXP(-LN(2)/2))/(LN(2)/2)*V126*Y126*VLOOKUP('Données projet'!$B$9,Paramètres!$A$1:$I$89,3,0)*0.475*44/12</f>
        <v>6.9269832806608206E-6</v>
      </c>
      <c r="AC126" s="22">
        <f t="shared" si="57"/>
        <v>160.01046961443572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-5.3205440053716299E-14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259.91478350500478</v>
      </c>
      <c r="AO126" s="59">
        <f t="shared" si="90"/>
        <v>192.27194887051007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150.85483082661219</v>
      </c>
      <c r="AV126" s="21">
        <f>EXP(-LN(2)/25)*AV125+(1-EXP(-LN(2)/25))/(LN(2)/25)*Calculateur!AQ126*Calculateur!AS126*VLOOKUP('Données projet'!$B$10,Paramètres!$A$1:$I$89,3,0)*0.475*44/12</f>
        <v>28.627667454063698</v>
      </c>
      <c r="AW126" s="21">
        <f>EXP(-LN(2)/2)*AW125+(1-EXP(-LN(2)/2))/(LN(2)/2)*AQ126*AT126*VLOOKUP('Données projet'!$B$10,Paramètres!$A$1:$I$89,3,0)*0.475*44/12</f>
        <v>1.6472915985623615E-2</v>
      </c>
      <c r="AX126" s="21">
        <f t="shared" si="60"/>
        <v>179.4989711966615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-1.3596945791505279E-13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284.60021367910457</v>
      </c>
      <c r="BJ126" s="59">
        <f t="shared" si="92"/>
        <v>301.41905904220812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63.836717256984528</v>
      </c>
      <c r="BQ126" s="21">
        <f>EXP(-LN(2)/25)*BQ125+(1-EXP(-LN(2)/25))/(LN(2)/25)*Calculateur!BL126*Calculateur!BN126*VLOOKUP('Données projet'!$B$11,Paramètres!$A$1:$I$89,3,0)*0.475*44/12</f>
        <v>9.3406419658501694</v>
      </c>
      <c r="BR126" s="21">
        <f>EXP(-LN(2)/2)*BR125+(1-EXP(-LN(2)/2))/(LN(2)/2)*BL126*BO126*VLOOKUP('Données projet'!$B$11,Paramètres!$A$1:$I$89,3,0)*0.475*44/12</f>
        <v>9.363748934918169E-8</v>
      </c>
      <c r="BS126" s="22">
        <f t="shared" si="63"/>
        <v>73.177359316472192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-3.4106051316484809E-13</v>
      </c>
      <c r="BZ126" s="13">
        <f>BY126*VLOOKUP('Données projet'!$B$12,Paramètres!$A$1:$I$89,3,0)*VLOOKUP('Données projet'!$B$12,Paramètres!$A$1:$I$89,5,0)</f>
        <v>-1.9065282685915009E-13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490.96084572840579</v>
      </c>
      <c r="CE126" s="59">
        <f t="shared" si="94"/>
        <v>597.91658789908263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98.344363785202589</v>
      </c>
      <c r="CL126" s="21">
        <f>EXP(-LN(2)/25)*CL125+(1-EXP(-LN(2)/25))/(LN(2)/25)*Calculateur!CG126*Calculateur!CI126*VLOOKUP('Données projet'!$B$12,Paramètres!$A$1:$I$89,3,0)*0.475*44/12</f>
        <v>14.719097268267413</v>
      </c>
      <c r="CM126" s="21">
        <f>EXP(-LN(2)/2)*CM125+(1-EXP(-LN(2)/2))/(LN(2)/2)*CG126*CJ126*VLOOKUP('Données projet'!$B$12,Paramètres!$A$1:$I$89,3,0)*0.475*44/12</f>
        <v>1.2091995902157521E-7</v>
      </c>
      <c r="CN126" s="22">
        <f t="shared" si="66"/>
        <v>113.06346117438997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-1.064108801074326E-13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482.28841373508675</v>
      </c>
      <c r="T127" s="59">
        <f t="shared" si="88"/>
        <v>746.97309214631684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136.22537703430001</v>
      </c>
      <c r="AA127" s="21">
        <f>EXP(-LN(2)/25)*AA126+(1-EXP(-LN(2)/25))/(LN(2)/25)*Calculateur!V127*Calculateur!X127*VLOOKUP('Données projet'!$B$9,Paramètres!$A$1:$I$89,3,0)*0.475*44/12</f>
        <v>20.484462247682693</v>
      </c>
      <c r="AB127" s="21">
        <f>EXP(-LN(2)/2)*AB126+(1-EXP(-LN(2)/2))/(LN(2)/2)*V127*Y127*VLOOKUP('Données projet'!$B$9,Paramètres!$A$1:$I$89,3,0)*0.475*44/12</f>
        <v>4.898116850921104E-6</v>
      </c>
      <c r="AC127" s="22">
        <f t="shared" si="57"/>
        <v>156.70984418009957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-5.3205440053716299E-14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259.91478350500478</v>
      </c>
      <c r="AO127" s="59">
        <f t="shared" si="90"/>
        <v>192.27194887051007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147.89665960646366</v>
      </c>
      <c r="AV127" s="21">
        <f>EXP(-LN(2)/25)*AV126+(1-EXP(-LN(2)/25))/(LN(2)/25)*Calculateur!AQ127*Calculateur!AS127*VLOOKUP('Données projet'!$B$10,Paramètres!$A$1:$I$89,3,0)*0.475*44/12</f>
        <v>27.844842382068723</v>
      </c>
      <c r="AW127" s="21">
        <f>EXP(-LN(2)/2)*AW126+(1-EXP(-LN(2)/2))/(LN(2)/2)*AQ127*AT127*VLOOKUP('Données projet'!$B$10,Paramètres!$A$1:$I$89,3,0)*0.475*44/12</f>
        <v>1.1648110599350739E-2</v>
      </c>
      <c r="AX127" s="21">
        <f t="shared" si="60"/>
        <v>175.75315009913172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-1.3596945791505279E-13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284.60021367910457</v>
      </c>
      <c r="BJ127" s="59">
        <f t="shared" si="92"/>
        <v>301.41905904220812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62.584918168127921</v>
      </c>
      <c r="BQ127" s="21">
        <f>EXP(-LN(2)/25)*BQ126+(1-EXP(-LN(2)/25))/(LN(2)/25)*Calculateur!BL127*Calculateur!BN127*VLOOKUP('Données projet'!$B$11,Paramètres!$A$1:$I$89,3,0)*0.475*44/12</f>
        <v>9.0852216200909837</v>
      </c>
      <c r="BR127" s="21">
        <f>EXP(-LN(2)/2)*BR126+(1-EXP(-LN(2)/2))/(LN(2)/2)*BL127*BO127*VLOOKUP('Données projet'!$B$11,Paramètres!$A$1:$I$89,3,0)*0.475*44/12</f>
        <v>6.6211703692089491E-8</v>
      </c>
      <c r="BS127" s="22">
        <f t="shared" si="63"/>
        <v>71.670139854430602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-3.4106051316484809E-13</v>
      </c>
      <c r="BZ127" s="13">
        <f>BY127*VLOOKUP('Données projet'!$B$12,Paramètres!$A$1:$I$89,3,0)*VLOOKUP('Données projet'!$B$12,Paramètres!$A$1:$I$89,5,0)</f>
        <v>-1.9065282685915009E-13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490.96084572840579</v>
      </c>
      <c r="CE127" s="59">
        <f t="shared" si="94"/>
        <v>597.91658789908263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96.415890795513732</v>
      </c>
      <c r="CL127" s="21">
        <f>EXP(-LN(2)/25)*CL126+(1-EXP(-LN(2)/25))/(LN(2)/25)*Calculateur!CG127*Calculateur!CI127*VLOOKUP('Données projet'!$B$12,Paramètres!$A$1:$I$89,3,0)*0.475*44/12</f>
        <v>14.316602779422956</v>
      </c>
      <c r="CM127" s="21">
        <f>EXP(-LN(2)/2)*CM126+(1-EXP(-LN(2)/2))/(LN(2)/2)*CG127*CJ127*VLOOKUP('Données projet'!$B$12,Paramètres!$A$1:$I$89,3,0)*0.475*44/12</f>
        <v>8.5503323004955277E-8</v>
      </c>
      <c r="CN127" s="22">
        <f t="shared" si="66"/>
        <v>110.73249366044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-1.064108801074326E-13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482.28841373508675</v>
      </c>
      <c r="T128" s="59">
        <f t="shared" si="88"/>
        <v>746.97309214631684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133.55408047993299</v>
      </c>
      <c r="AA128" s="21">
        <f>EXP(-LN(2)/25)*AA127+(1-EXP(-LN(2)/25))/(LN(2)/25)*Calculateur!V128*Calculateur!X128*VLOOKUP('Données projet'!$B$9,Paramètres!$A$1:$I$89,3,0)*0.475*44/12</f>
        <v>19.924313550288758</v>
      </c>
      <c r="AB128" s="21">
        <f>EXP(-LN(2)/2)*AB127+(1-EXP(-LN(2)/2))/(LN(2)/2)*V128*Y128*VLOOKUP('Données projet'!$B$9,Paramètres!$A$1:$I$89,3,0)*0.475*44/12</f>
        <v>3.4634916403304103E-6</v>
      </c>
      <c r="AC128" s="22">
        <f t="shared" si="57"/>
        <v>153.4783974937134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-5.3205440053716299E-14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259.91478350500478</v>
      </c>
      <c r="AO128" s="59">
        <f t="shared" si="90"/>
        <v>192.27194887051007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144.99649631963595</v>
      </c>
      <c r="AV128" s="21">
        <f>EXP(-LN(2)/25)*AV127+(1-EXP(-LN(2)/25))/(LN(2)/25)*Calculateur!AQ128*Calculateur!AS128*VLOOKUP('Données projet'!$B$10,Paramètres!$A$1:$I$89,3,0)*0.475*44/12</f>
        <v>27.083423702834434</v>
      </c>
      <c r="AW128" s="21">
        <f>EXP(-LN(2)/2)*AW127+(1-EXP(-LN(2)/2))/(LN(2)/2)*AQ128*AT128*VLOOKUP('Données projet'!$B$10,Paramètres!$A$1:$I$89,3,0)*0.475*44/12</f>
        <v>8.2364579928118076E-3</v>
      </c>
      <c r="AX128" s="21">
        <f t="shared" si="60"/>
        <v>172.0881564804632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-1.3596945791505279E-13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284.60021367910457</v>
      </c>
      <c r="BJ128" s="59">
        <f t="shared" si="92"/>
        <v>301.41905904220812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61.35766609588174</v>
      </c>
      <c r="BQ128" s="21">
        <f>EXP(-LN(2)/25)*BQ127+(1-EXP(-LN(2)/25))/(LN(2)/25)*Calculateur!BL128*Calculateur!BN128*VLOOKUP('Données projet'!$B$11,Paramètres!$A$1:$I$89,3,0)*0.475*44/12</f>
        <v>8.8367857571185553</v>
      </c>
      <c r="BR128" s="21">
        <f>EXP(-LN(2)/2)*BR127+(1-EXP(-LN(2)/2))/(LN(2)/2)*BL128*BO128*VLOOKUP('Données projet'!$B$11,Paramètres!$A$1:$I$89,3,0)*0.475*44/12</f>
        <v>4.6818744674590845E-8</v>
      </c>
      <c r="BS128" s="22">
        <f t="shared" si="63"/>
        <v>70.194451899819029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-3.4106051316484809E-13</v>
      </c>
      <c r="BZ128" s="13">
        <f>BY128*VLOOKUP('Données projet'!$B$12,Paramètres!$A$1:$I$89,3,0)*VLOOKUP('Données projet'!$B$12,Paramètres!$A$1:$I$89,5,0)</f>
        <v>-1.9065282685915009E-13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490.96084572840579</v>
      </c>
      <c r="CE128" s="59">
        <f t="shared" si="94"/>
        <v>597.91658789908263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94.525233984900296</v>
      </c>
      <c r="CL128" s="21">
        <f>EXP(-LN(2)/25)*CL127+(1-EXP(-LN(2)/25))/(LN(2)/25)*Calculateur!CG128*Calculateur!CI128*VLOOKUP('Données projet'!$B$12,Paramètres!$A$1:$I$89,3,0)*0.475*44/12</f>
        <v>13.925114523542216</v>
      </c>
      <c r="CM128" s="21">
        <f>EXP(-LN(2)/2)*CM127+(1-EXP(-LN(2)/2))/(LN(2)/2)*CG128*CJ128*VLOOKUP('Données projet'!$B$12,Paramètres!$A$1:$I$89,3,0)*0.475*44/12</f>
        <v>6.0459979510787605E-8</v>
      </c>
      <c r="CN128" s="22">
        <f t="shared" si="66"/>
        <v>108.4503485689025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-1.064108801074326E-13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482.28841373508675</v>
      </c>
      <c r="T129" s="59">
        <f t="shared" si="88"/>
        <v>746.97309214631684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130.93516642166711</v>
      </c>
      <c r="AA129" s="21">
        <f>EXP(-LN(2)/25)*AA128+(1-EXP(-LN(2)/25))/(LN(2)/25)*Calculateur!V129*Calculateur!X129*VLOOKUP('Données projet'!$B$9,Paramètres!$A$1:$I$89,3,0)*0.475*44/12</f>
        <v>19.379482148482001</v>
      </c>
      <c r="AB129" s="21">
        <f>EXP(-LN(2)/2)*AB128+(1-EXP(-LN(2)/2))/(LN(2)/2)*V129*Y129*VLOOKUP('Données projet'!$B$9,Paramètres!$A$1:$I$89,3,0)*0.475*44/12</f>
        <v>2.449058425460552E-6</v>
      </c>
      <c r="AC129" s="22">
        <f t="shared" si="57"/>
        <v>150.31465101920753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-5.3205440053716299E-14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259.91478350500478</v>
      </c>
      <c r="AO129" s="59">
        <f t="shared" si="90"/>
        <v>192.27194887051007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142.15320346593802</v>
      </c>
      <c r="AV129" s="21">
        <f>EXP(-LN(2)/25)*AV128+(1-EXP(-LN(2)/25))/(LN(2)/25)*Calculateur!AQ129*Calculateur!AS129*VLOOKUP('Données projet'!$B$10,Paramètres!$A$1:$I$89,3,0)*0.475*44/12</f>
        <v>26.342826057425075</v>
      </c>
      <c r="AW129" s="21">
        <f>EXP(-LN(2)/2)*AW128+(1-EXP(-LN(2)/2))/(LN(2)/2)*AQ129*AT129*VLOOKUP('Données projet'!$B$10,Paramètres!$A$1:$I$89,3,0)*0.475*44/12</f>
        <v>5.8240552996753694E-3</v>
      </c>
      <c r="AX129" s="21">
        <f t="shared" si="60"/>
        <v>168.50185357866278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-1.3596945791505279E-13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284.60021367910457</v>
      </c>
      <c r="BJ129" s="59">
        <f t="shared" si="92"/>
        <v>301.41905904220812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60.154479688222459</v>
      </c>
      <c r="BQ129" s="21">
        <f>EXP(-LN(2)/25)*BQ128+(1-EXP(-LN(2)/25))/(LN(2)/25)*Calculateur!BL129*Calculateur!BN129*VLOOKUP('Données projet'!$B$11,Paramètres!$A$1:$I$89,3,0)*0.475*44/12</f>
        <v>8.595143385883782</v>
      </c>
      <c r="BR129" s="21">
        <f>EXP(-LN(2)/2)*BR128+(1-EXP(-LN(2)/2))/(LN(2)/2)*BL129*BO129*VLOOKUP('Données projet'!$B$11,Paramètres!$A$1:$I$89,3,0)*0.475*44/12</f>
        <v>3.3105851846044745E-8</v>
      </c>
      <c r="BS129" s="22">
        <f t="shared" si="63"/>
        <v>68.749623107212088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-3.4106051316484809E-13</v>
      </c>
      <c r="BZ129" s="13">
        <f>BY129*VLOOKUP('Données projet'!$B$12,Paramètres!$A$1:$I$89,3,0)*VLOOKUP('Données projet'!$B$12,Paramètres!$A$1:$I$89,5,0)</f>
        <v>-1.9065282685915009E-13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490.96084572840579</v>
      </c>
      <c r="CE129" s="59">
        <f t="shared" si="94"/>
        <v>597.91658789908263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92.671651801156202</v>
      </c>
      <c r="CL129" s="21">
        <f>EXP(-LN(2)/25)*CL128+(1-EXP(-LN(2)/25))/(LN(2)/25)*Calculateur!CG129*Calculateur!CI129*VLOOKUP('Données projet'!$B$12,Paramètres!$A$1:$I$89,3,0)*0.475*44/12</f>
        <v>13.544331534606009</v>
      </c>
      <c r="CM129" s="21">
        <f>EXP(-LN(2)/2)*CM128+(1-EXP(-LN(2)/2))/(LN(2)/2)*CG129*CJ129*VLOOKUP('Données projet'!$B$12,Paramètres!$A$1:$I$89,3,0)*0.475*44/12</f>
        <v>4.2751661502477638E-8</v>
      </c>
      <c r="CN129" s="22">
        <f t="shared" si="66"/>
        <v>106.21598337851388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-1.064108801074326E-13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482.28841373508675</v>
      </c>
      <c r="T130" s="59">
        <f t="shared" si="88"/>
        <v>746.97309214631684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128.36760767070396</v>
      </c>
      <c r="AA130" s="21">
        <f>EXP(-LN(2)/25)*AA129+(1-EXP(-LN(2)/25))/(LN(2)/25)*Calculateur!V130*Calculateur!X130*VLOOKUP('Données projet'!$B$9,Paramètres!$A$1:$I$89,3,0)*0.475*44/12</f>
        <v>18.849549190009085</v>
      </c>
      <c r="AB130" s="21">
        <f>EXP(-LN(2)/2)*AB129+(1-EXP(-LN(2)/2))/(LN(2)/2)*V130*Y130*VLOOKUP('Données projet'!$B$9,Paramètres!$A$1:$I$89,3,0)*0.475*44/12</f>
        <v>1.7317458201652052E-6</v>
      </c>
      <c r="AC130" s="22">
        <f t="shared" si="57"/>
        <v>147.21715859245884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-5.3205440053716299E-14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259.91478350500478</v>
      </c>
      <c r="AO130" s="59">
        <f t="shared" si="90"/>
        <v>192.27194887051007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139.36566585086371</v>
      </c>
      <c r="AV130" s="21">
        <f>EXP(-LN(2)/25)*AV129+(1-EXP(-LN(2)/25))/(LN(2)/25)*Calculateur!AQ130*Calculateur!AS130*VLOOKUP('Données projet'!$B$10,Paramètres!$A$1:$I$89,3,0)*0.475*44/12</f>
        <v>25.622480093575771</v>
      </c>
      <c r="AW130" s="21">
        <f>EXP(-LN(2)/2)*AW129+(1-EXP(-LN(2)/2))/(LN(2)/2)*AQ130*AT130*VLOOKUP('Données projet'!$B$10,Paramètres!$A$1:$I$89,3,0)*0.475*44/12</f>
        <v>4.1182289964059038E-3</v>
      </c>
      <c r="AX130" s="21">
        <f t="shared" si="60"/>
        <v>164.9922641734359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-1.3596945791505279E-13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284.60021367910457</v>
      </c>
      <c r="BJ130" s="59">
        <f t="shared" si="92"/>
        <v>301.41905904220812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58.974887032146128</v>
      </c>
      <c r="BQ130" s="21">
        <f>EXP(-LN(2)/25)*BQ129+(1-EXP(-LN(2)/25))/(LN(2)/25)*Calculateur!BL130*Calculateur!BN130*VLOOKUP('Données projet'!$B$11,Paramètres!$A$1:$I$89,3,0)*0.475*44/12</f>
        <v>8.3601087379978445</v>
      </c>
      <c r="BR130" s="21">
        <f>EXP(-LN(2)/2)*BR129+(1-EXP(-LN(2)/2))/(LN(2)/2)*BL130*BO130*VLOOKUP('Données projet'!$B$11,Paramètres!$A$1:$I$89,3,0)*0.475*44/12</f>
        <v>2.3409372337295422E-8</v>
      </c>
      <c r="BS130" s="22">
        <f t="shared" si="63"/>
        <v>67.334995793553347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-3.4106051316484809E-13</v>
      </c>
      <c r="BZ130" s="13">
        <f>BY130*VLOOKUP('Données projet'!$B$12,Paramètres!$A$1:$I$89,3,0)*VLOOKUP('Données projet'!$B$12,Paramètres!$A$1:$I$89,5,0)</f>
        <v>-1.9065282685915009E-13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490.96084572840579</v>
      </c>
      <c r="CE130" s="59">
        <f t="shared" si="94"/>
        <v>597.91658789908263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90.854417233461831</v>
      </c>
      <c r="CL130" s="21">
        <f>EXP(-LN(2)/25)*CL129+(1-EXP(-LN(2)/25))/(LN(2)/25)*Calculateur!CG130*Calculateur!CI130*VLOOKUP('Données projet'!$B$12,Paramètres!$A$1:$I$89,3,0)*0.475*44/12</f>
        <v>13.173961076526767</v>
      </c>
      <c r="CM130" s="21">
        <f>EXP(-LN(2)/2)*CM129+(1-EXP(-LN(2)/2))/(LN(2)/2)*CG130*CJ130*VLOOKUP('Données projet'!$B$12,Paramètres!$A$1:$I$89,3,0)*0.475*44/12</f>
        <v>3.0229989755393802E-8</v>
      </c>
      <c r="CN130" s="22">
        <f t="shared" si="66"/>
        <v>104.02837834021858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-1.064108801074326E-13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482.28841373508675</v>
      </c>
      <c r="T131" s="59">
        <f t="shared" si="88"/>
        <v>746.97309214631684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125.85039718079099</v>
      </c>
      <c r="AA131" s="21">
        <f>EXP(-LN(2)/25)*AA130+(1-EXP(-LN(2)/25))/(LN(2)/25)*Calculateur!V131*Calculateur!X131*VLOOKUP('Données projet'!$B$9,Paramètres!$A$1:$I$89,3,0)*0.475*44/12</f>
        <v>18.334107276153578</v>
      </c>
      <c r="AB131" s="21">
        <f>EXP(-LN(2)/2)*AB130+(1-EXP(-LN(2)/2))/(LN(2)/2)*V131*Y131*VLOOKUP('Données projet'!$B$9,Paramètres!$A$1:$I$89,3,0)*0.475*44/12</f>
        <v>1.224529212730276E-6</v>
      </c>
      <c r="AC131" s="22">
        <f t="shared" si="57"/>
        <v>144.18450568147378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-5.3205440053716299E-14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259.91478350500478</v>
      </c>
      <c r="AO131" s="59">
        <f t="shared" si="90"/>
        <v>192.27194887051007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136.63279014819094</v>
      </c>
      <c r="AV131" s="21">
        <f>EXP(-LN(2)/25)*AV130+(1-EXP(-LN(2)/25))/(LN(2)/25)*Calculateur!AQ131*Calculateur!AS131*VLOOKUP('Données projet'!$B$10,Paramètres!$A$1:$I$89,3,0)*0.475*44/12</f>
        <v>24.921832027989275</v>
      </c>
      <c r="AW131" s="21">
        <f>EXP(-LN(2)/2)*AW130+(1-EXP(-LN(2)/2))/(LN(2)/2)*AQ131*AT131*VLOOKUP('Données projet'!$B$10,Paramètres!$A$1:$I$89,3,0)*0.475*44/12</f>
        <v>2.9120276498376847E-3</v>
      </c>
      <c r="AX131" s="21">
        <f t="shared" si="60"/>
        <v>161.55753420383004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-1.3596945791505279E-13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284.60021367910457</v>
      </c>
      <c r="BJ131" s="59">
        <f t="shared" si="92"/>
        <v>301.41905904220812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57.818425468574979</v>
      </c>
      <c r="BQ131" s="21">
        <f>EXP(-LN(2)/25)*BQ130+(1-EXP(-LN(2)/25))/(LN(2)/25)*Calculateur!BL131*Calculateur!BN131*VLOOKUP('Données projet'!$B$11,Paramètres!$A$1:$I$89,3,0)*0.475*44/12</f>
        <v>8.131501124918282</v>
      </c>
      <c r="BR131" s="21">
        <f>EXP(-LN(2)/2)*BR130+(1-EXP(-LN(2)/2))/(LN(2)/2)*BL131*BO131*VLOOKUP('Données projet'!$B$11,Paramètres!$A$1:$I$89,3,0)*0.475*44/12</f>
        <v>1.6552925923022373E-8</v>
      </c>
      <c r="BS131" s="22">
        <f t="shared" si="63"/>
        <v>65.949926610046191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-3.4106051316484809E-13</v>
      </c>
      <c r="BZ131" s="13">
        <f>BY131*VLOOKUP('Données projet'!$B$12,Paramètres!$A$1:$I$89,3,0)*VLOOKUP('Données projet'!$B$12,Paramètres!$A$1:$I$89,5,0)</f>
        <v>-1.9065282685915009E-13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490.96084572840579</v>
      </c>
      <c r="CE131" s="59">
        <f t="shared" si="94"/>
        <v>597.91658789908263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89.07281752723631</v>
      </c>
      <c r="CL131" s="21">
        <f>EXP(-LN(2)/25)*CL130+(1-EXP(-LN(2)/25))/(LN(2)/25)*Calculateur!CG131*Calculateur!CI131*VLOOKUP('Données projet'!$B$12,Paramètres!$A$1:$I$89,3,0)*0.475*44/12</f>
        <v>12.81371841810064</v>
      </c>
      <c r="CM131" s="21">
        <f>EXP(-LN(2)/2)*CM130+(1-EXP(-LN(2)/2))/(LN(2)/2)*CG131*CJ131*VLOOKUP('Données projet'!$B$12,Paramètres!$A$1:$I$89,3,0)*0.475*44/12</f>
        <v>2.1375830751238819E-8</v>
      </c>
      <c r="CN131" s="22">
        <f t="shared" si="66"/>
        <v>101.88653596671277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-1.064108801074326E-13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482.28841373508675</v>
      </c>
      <c r="T132" s="59">
        <f t="shared" si="88"/>
        <v>746.97309214631684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123.38254765323842</v>
      </c>
      <c r="AA132" s="21">
        <f>EXP(-LN(2)/25)*AA131+(1-EXP(-LN(2)/25))/(LN(2)/25)*Calculateur!V132*Calculateur!X132*VLOOKUP('Données projet'!$B$9,Paramètres!$A$1:$I$89,3,0)*0.475*44/12</f>
        <v>17.832760148538359</v>
      </c>
      <c r="AB132" s="21">
        <f>EXP(-LN(2)/2)*AB131+(1-EXP(-LN(2)/2))/(LN(2)/2)*V132*Y132*VLOOKUP('Données projet'!$B$9,Paramètres!$A$1:$I$89,3,0)*0.475*44/12</f>
        <v>8.6587291008260258E-7</v>
      </c>
      <c r="AC132" s="22">
        <f t="shared" ref="AC132:AC153" si="111">SUM(Z132:AB132)</f>
        <v>141.21530866764971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-5.3205440053716299E-14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259.91478350500478</v>
      </c>
      <c r="AO132" s="59">
        <f t="shared" si="90"/>
        <v>192.27194887051007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133.95350447115797</v>
      </c>
      <c r="AV132" s="21">
        <f>EXP(-LN(2)/25)*AV131+(1-EXP(-LN(2)/25))/(LN(2)/25)*Calculateur!AQ132*Calculateur!AS132*VLOOKUP('Données projet'!$B$10,Paramètres!$A$1:$I$89,3,0)*0.475*44/12</f>
        <v>24.240343220601723</v>
      </c>
      <c r="AW132" s="21">
        <f>EXP(-LN(2)/2)*AW131+(1-EXP(-LN(2)/2))/(LN(2)/2)*AQ132*AT132*VLOOKUP('Données projet'!$B$10,Paramètres!$A$1:$I$89,3,0)*0.475*44/12</f>
        <v>2.0591144982029519E-3</v>
      </c>
      <c r="AX132" s="21">
        <f t="shared" ref="AX132:AX153" si="114">SUM(AU132:AW132)</f>
        <v>158.19590680625788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-1.3596945791505279E-13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284.60021367910457</v>
      </c>
      <c r="BJ132" s="59">
        <f t="shared" si="92"/>
        <v>301.41905904220812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56.684641410893555</v>
      </c>
      <c r="BQ132" s="21">
        <f>EXP(-LN(2)/25)*BQ131+(1-EXP(-LN(2)/25))/(LN(2)/25)*Calculateur!BL132*Calculateur!BN132*VLOOKUP('Données projet'!$B$11,Paramètres!$A$1:$I$89,3,0)*0.475*44/12</f>
        <v>7.9091447990403321</v>
      </c>
      <c r="BR132" s="21">
        <f>EXP(-LN(2)/2)*BR131+(1-EXP(-LN(2)/2))/(LN(2)/2)*BL132*BO132*VLOOKUP('Données projet'!$B$11,Paramètres!$A$1:$I$89,3,0)*0.475*44/12</f>
        <v>1.1704686168647711E-8</v>
      </c>
      <c r="BS132" s="22">
        <f t="shared" ref="BS132:BS153" si="117">SUM(BP132:BR132)</f>
        <v>64.593786221638567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-3.4106051316484809E-13</v>
      </c>
      <c r="BZ132" s="13">
        <f>BY132*VLOOKUP('Données projet'!$B$12,Paramètres!$A$1:$I$89,3,0)*VLOOKUP('Données projet'!$B$12,Paramètres!$A$1:$I$89,5,0)</f>
        <v>-1.9065282685915009E-13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490.96084572840579</v>
      </c>
      <c r="CE132" s="59">
        <f t="shared" si="94"/>
        <v>597.91658789908263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87.326153904581346</v>
      </c>
      <c r="CL132" s="21">
        <f>EXP(-LN(2)/25)*CL131+(1-EXP(-LN(2)/25))/(LN(2)/25)*Calculateur!CG132*Calculateur!CI132*VLOOKUP('Données projet'!$B$12,Paramètres!$A$1:$I$89,3,0)*0.475*44/12</f>
        <v>12.463326614113512</v>
      </c>
      <c r="CM132" s="21">
        <f>EXP(-LN(2)/2)*CM131+(1-EXP(-LN(2)/2))/(LN(2)/2)*CG132*CJ132*VLOOKUP('Données projet'!$B$12,Paramètres!$A$1:$I$89,3,0)*0.475*44/12</f>
        <v>1.5114994877696901E-8</v>
      </c>
      <c r="CN132" s="22">
        <f t="shared" ref="CN132:CN153" si="120">SUM(CK132:CM132)</f>
        <v>99.789480533809851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-1.064108801074326E-13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482.28841373508675</v>
      </c>
      <c r="T133" s="59">
        <f t="shared" ref="T133:T196" si="142">$T$3</f>
        <v>746.97309214631684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120.96309114968157</v>
      </c>
      <c r="AA133" s="21">
        <f>EXP(-LN(2)/25)*AA132+(1-EXP(-LN(2)/25))/(LN(2)/25)*Calculateur!V133*Calculateur!X133*VLOOKUP('Données projet'!$B$9,Paramètres!$A$1:$I$89,3,0)*0.475*44/12</f>
        <v>17.345122384492477</v>
      </c>
      <c r="AB133" s="21">
        <f>EXP(-LN(2)/2)*AB132+(1-EXP(-LN(2)/2))/(LN(2)/2)*V133*Y133*VLOOKUP('Données projet'!$B$9,Paramètres!$A$1:$I$89,3,0)*0.475*44/12</f>
        <v>6.1226460636513799E-7</v>
      </c>
      <c r="AC133" s="22">
        <f t="shared" si="111"/>
        <v>138.30821414643867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-5.3205440053716299E-14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259.91478350500478</v>
      </c>
      <c r="AO133" s="59">
        <f t="shared" ref="AO133:AO196" si="144">$AO$3</f>
        <v>192.27194887051007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131.32675795204872</v>
      </c>
      <c r="AV133" s="21">
        <f>EXP(-LN(2)/25)*AV132+(1-EXP(-LN(2)/25))/(LN(2)/25)*Calculateur!AQ133*Calculateur!AS133*VLOOKUP('Données projet'!$B$10,Paramètres!$A$1:$I$89,3,0)*0.475*44/12</f>
        <v>23.577489760490121</v>
      </c>
      <c r="AW133" s="21">
        <f>EXP(-LN(2)/2)*AW132+(1-EXP(-LN(2)/2))/(LN(2)/2)*AQ133*AT133*VLOOKUP('Données projet'!$B$10,Paramètres!$A$1:$I$89,3,0)*0.475*44/12</f>
        <v>1.4560138249188424E-3</v>
      </c>
      <c r="AX133" s="21">
        <f t="shared" si="114"/>
        <v>154.90570372636375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-1.3596945791505279E-13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284.60021367910457</v>
      </c>
      <c r="BJ133" s="59">
        <f t="shared" ref="BJ133:BJ196" si="146">$BJ$3</f>
        <v>301.41905904220812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55.573090167043276</v>
      </c>
      <c r="BQ133" s="21">
        <f>EXP(-LN(2)/25)*BQ132+(1-EXP(-LN(2)/25))/(LN(2)/25)*Calculateur!BL133*Calculateur!BN133*VLOOKUP('Données projet'!$B$11,Paramètres!$A$1:$I$89,3,0)*0.475*44/12</f>
        <v>7.6928688185867262</v>
      </c>
      <c r="BR133" s="21">
        <f>EXP(-LN(2)/2)*BR132+(1-EXP(-LN(2)/2))/(LN(2)/2)*BL133*BO133*VLOOKUP('Données projet'!$B$11,Paramètres!$A$1:$I$89,3,0)*0.475*44/12</f>
        <v>8.2764629615111863E-9</v>
      </c>
      <c r="BS133" s="22">
        <f t="shared" si="117"/>
        <v>63.265958993906466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-3.4106051316484809E-13</v>
      </c>
      <c r="BZ133" s="13">
        <f>BY133*VLOOKUP('Données projet'!$B$12,Paramètres!$A$1:$I$89,3,0)*VLOOKUP('Données projet'!$B$12,Paramètres!$A$1:$I$89,5,0)</f>
        <v>-1.9065282685915009E-13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490.96084572840579</v>
      </c>
      <c r="CE133" s="59">
        <f t="shared" ref="CE133:CE196" si="148">$CE$3</f>
        <v>597.91658789908263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85.613741290207031</v>
      </c>
      <c r="CL133" s="21">
        <f>EXP(-LN(2)/25)*CL132+(1-EXP(-LN(2)/25))/(LN(2)/25)*Calculateur!CG133*Calculateur!CI133*VLOOKUP('Données projet'!$B$12,Paramètres!$A$1:$I$89,3,0)*0.475*44/12</f>
        <v>12.122516292432717</v>
      </c>
      <c r="CM133" s="21">
        <f>EXP(-LN(2)/2)*CM132+(1-EXP(-LN(2)/2))/(LN(2)/2)*CG133*CJ133*VLOOKUP('Données projet'!$B$12,Paramètres!$A$1:$I$89,3,0)*0.475*44/12</f>
        <v>1.068791537561941E-8</v>
      </c>
      <c r="CN133" s="22">
        <f t="shared" si="120"/>
        <v>97.736257593327664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-1.064108801074326E-13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482.28841373508675</v>
      </c>
      <c r="T134" s="59">
        <f t="shared" si="142"/>
        <v>746.97309214631684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118.59107871243673</v>
      </c>
      <c r="AA134" s="21">
        <f>EXP(-LN(2)/25)*AA133+(1-EXP(-LN(2)/25))/(LN(2)/25)*Calculateur!V134*Calculateur!X134*VLOOKUP('Données projet'!$B$9,Paramètres!$A$1:$I$89,3,0)*0.475*44/12</f>
        <v>16.870819100748186</v>
      </c>
      <c r="AB134" s="21">
        <f>EXP(-LN(2)/2)*AB133+(1-EXP(-LN(2)/2))/(LN(2)/2)*V134*Y134*VLOOKUP('Données projet'!$B$9,Paramètres!$A$1:$I$89,3,0)*0.475*44/12</f>
        <v>4.3293645504130129E-7</v>
      </c>
      <c r="AC134" s="22">
        <f t="shared" si="111"/>
        <v>135.46189824612136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-5.3205440053716299E-14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259.91478350500478</v>
      </c>
      <c r="AO134" s="59">
        <f t="shared" si="144"/>
        <v>192.27194887051007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128.75152033002203</v>
      </c>
      <c r="AV134" s="21">
        <f>EXP(-LN(2)/25)*AV133+(1-EXP(-LN(2)/25))/(LN(2)/25)*Calculateur!AQ134*Calculateur!AS134*VLOOKUP('Données projet'!$B$10,Paramètres!$A$1:$I$89,3,0)*0.475*44/12</f>
        <v>22.932762063103219</v>
      </c>
      <c r="AW134" s="21">
        <f>EXP(-LN(2)/2)*AW133+(1-EXP(-LN(2)/2))/(LN(2)/2)*AQ134*AT134*VLOOKUP('Données projet'!$B$10,Paramètres!$A$1:$I$89,3,0)*0.475*44/12</f>
        <v>1.0295572491014759E-3</v>
      </c>
      <c r="AX134" s="21">
        <f t="shared" si="114"/>
        <v>151.68531195037434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-1.3596945791505279E-13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284.60021367910457</v>
      </c>
      <c r="BJ134" s="59">
        <f t="shared" si="146"/>
        <v>301.41905904220812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54.483335765105586</v>
      </c>
      <c r="BQ134" s="21">
        <f>EXP(-LN(2)/25)*BQ133+(1-EXP(-LN(2)/25))/(LN(2)/25)*Calculateur!BL134*Calculateur!BN134*VLOOKUP('Données projet'!$B$11,Paramètres!$A$1:$I$89,3,0)*0.475*44/12</f>
        <v>7.482506916192083</v>
      </c>
      <c r="BR134" s="21">
        <f>EXP(-LN(2)/2)*BR133+(1-EXP(-LN(2)/2))/(LN(2)/2)*BL134*BO134*VLOOKUP('Données projet'!$B$11,Paramètres!$A$1:$I$89,3,0)*0.475*44/12</f>
        <v>5.8523430843238556E-9</v>
      </c>
      <c r="BS134" s="22">
        <f t="shared" si="117"/>
        <v>61.965842687150015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-3.4106051316484809E-13</v>
      </c>
      <c r="BZ134" s="13">
        <f>BY134*VLOOKUP('Données projet'!$B$12,Paramètres!$A$1:$I$89,3,0)*VLOOKUP('Données projet'!$B$12,Paramètres!$A$1:$I$89,5,0)</f>
        <v>-1.9065282685915009E-13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490.96084572840579</v>
      </c>
      <c r="CE134" s="59">
        <f t="shared" si="148"/>
        <v>597.91658789908263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83.934908042732033</v>
      </c>
      <c r="CL134" s="21">
        <f>EXP(-LN(2)/25)*CL133+(1-EXP(-LN(2)/25))/(LN(2)/25)*Calculateur!CG134*Calculateur!CI134*VLOOKUP('Données projet'!$B$12,Paramètres!$A$1:$I$89,3,0)*0.475*44/12</f>
        <v>11.791025446920719</v>
      </c>
      <c r="CM134" s="21">
        <f>EXP(-LN(2)/2)*CM133+(1-EXP(-LN(2)/2))/(LN(2)/2)*CG134*CJ134*VLOOKUP('Données projet'!$B$12,Paramètres!$A$1:$I$89,3,0)*0.475*44/12</f>
        <v>7.5574974388484506E-9</v>
      </c>
      <c r="CN134" s="22">
        <f t="shared" si="120"/>
        <v>95.725933497210249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-1.064108801074326E-13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482.28841373508675</v>
      </c>
      <c r="T135" s="59">
        <f t="shared" si="142"/>
        <v>746.97309214631684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116.26557999230153</v>
      </c>
      <c r="AA135" s="21">
        <f>EXP(-LN(2)/25)*AA134+(1-EXP(-LN(2)/25))/(LN(2)/25)*Calculateur!V135*Calculateur!X135*VLOOKUP('Données projet'!$B$9,Paramètres!$A$1:$I$89,3,0)*0.475*44/12</f>
        <v>16.40948566524041</v>
      </c>
      <c r="AB135" s="21">
        <f>EXP(-LN(2)/2)*AB134+(1-EXP(-LN(2)/2))/(LN(2)/2)*V135*Y135*VLOOKUP('Données projet'!$B$9,Paramètres!$A$1:$I$89,3,0)*0.475*44/12</f>
        <v>3.06132303182569E-7</v>
      </c>
      <c r="AC135" s="22">
        <f t="shared" si="111"/>
        <v>132.67506596367426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-5.3205440053716299E-14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259.91478350500478</v>
      </c>
      <c r="AO135" s="59">
        <f t="shared" si="144"/>
        <v>192.27194887051007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126.22678154702344</v>
      </c>
      <c r="AV135" s="21">
        <f>EXP(-LN(2)/25)*AV134+(1-EXP(-LN(2)/25))/(LN(2)/25)*Calculateur!AQ135*Calculateur!AS135*VLOOKUP('Données projet'!$B$10,Paramètres!$A$1:$I$89,3,0)*0.475*44/12</f>
        <v>22.305664478506117</v>
      </c>
      <c r="AW135" s="21">
        <f>EXP(-LN(2)/2)*AW134+(1-EXP(-LN(2)/2))/(LN(2)/2)*AQ135*AT135*VLOOKUP('Données projet'!$B$10,Paramètres!$A$1:$I$89,3,0)*0.475*44/12</f>
        <v>7.2800691245942118E-4</v>
      </c>
      <c r="AX135" s="21">
        <f t="shared" si="114"/>
        <v>148.53317403244202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-1.3596945791505279E-13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284.60021367910457</v>
      </c>
      <c r="BJ135" s="59">
        <f t="shared" si="146"/>
        <v>301.41905904220812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53.41495078230534</v>
      </c>
      <c r="BQ135" s="21">
        <f>EXP(-LN(2)/25)*BQ134+(1-EXP(-LN(2)/25))/(LN(2)/25)*Calculateur!BL135*Calculateur!BN135*VLOOKUP('Données projet'!$B$11,Paramètres!$A$1:$I$89,3,0)*0.475*44/12</f>
        <v>7.277897371080873</v>
      </c>
      <c r="BR135" s="21">
        <f>EXP(-LN(2)/2)*BR134+(1-EXP(-LN(2)/2))/(LN(2)/2)*BL135*BO135*VLOOKUP('Données projet'!$B$11,Paramètres!$A$1:$I$89,3,0)*0.475*44/12</f>
        <v>4.1382314807555932E-9</v>
      </c>
      <c r="BS135" s="22">
        <f t="shared" si="117"/>
        <v>60.692848157524445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-3.4106051316484809E-13</v>
      </c>
      <c r="BZ135" s="13">
        <f>BY135*VLOOKUP('Données projet'!$B$12,Paramètres!$A$1:$I$89,3,0)*VLOOKUP('Données projet'!$B$12,Paramètres!$A$1:$I$89,5,0)</f>
        <v>-1.9065282685915009E-13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490.96084572840579</v>
      </c>
      <c r="CE135" s="59">
        <f t="shared" si="148"/>
        <v>597.91658789908263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82.28899569125285</v>
      </c>
      <c r="CL135" s="21">
        <f>EXP(-LN(2)/25)*CL134+(1-EXP(-LN(2)/25))/(LN(2)/25)*Calculateur!CG135*Calculateur!CI135*VLOOKUP('Données projet'!$B$12,Paramètres!$A$1:$I$89,3,0)*0.475*44/12</f>
        <v>11.468599236011592</v>
      </c>
      <c r="CM135" s="21">
        <f>EXP(-LN(2)/2)*CM134+(1-EXP(-LN(2)/2))/(LN(2)/2)*CG135*CJ135*VLOOKUP('Données projet'!$B$12,Paramètres!$A$1:$I$89,3,0)*0.475*44/12</f>
        <v>5.3439576878097048E-9</v>
      </c>
      <c r="CN135" s="22">
        <f t="shared" si="120"/>
        <v>93.757594932608413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-1.064108801074326E-13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482.28841373508675</v>
      </c>
      <c r="T136" s="59">
        <f t="shared" si="142"/>
        <v>746.97309214631684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113.98568288365401</v>
      </c>
      <c r="AA136" s="21">
        <f>EXP(-LN(2)/25)*AA135+(1-EXP(-LN(2)/25))/(LN(2)/25)*Calculateur!V136*Calculateur!X136*VLOOKUP('Données projet'!$B$9,Paramètres!$A$1:$I$89,3,0)*0.475*44/12</f>
        <v>15.960767416787064</v>
      </c>
      <c r="AB136" s="21">
        <f>EXP(-LN(2)/2)*AB135+(1-EXP(-LN(2)/2))/(LN(2)/2)*V136*Y136*VLOOKUP('Données projet'!$B$9,Paramètres!$A$1:$I$89,3,0)*0.475*44/12</f>
        <v>2.1646822752065064E-7</v>
      </c>
      <c r="AC136" s="22">
        <f t="shared" si="111"/>
        <v>129.94645051690932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-5.3205440053716299E-14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259.91478350500478</v>
      </c>
      <c r="AO136" s="59">
        <f t="shared" si="144"/>
        <v>192.27194887051007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123.75155135162085</v>
      </c>
      <c r="AV136" s="21">
        <f>EXP(-LN(2)/25)*AV135+(1-EXP(-LN(2)/25))/(LN(2)/25)*Calculateur!AQ136*Calculateur!AS136*VLOOKUP('Données projet'!$B$10,Paramètres!$A$1:$I$89,3,0)*0.475*44/12</f>
        <v>21.695714910337454</v>
      </c>
      <c r="AW136" s="21">
        <f>EXP(-LN(2)/2)*AW135+(1-EXP(-LN(2)/2))/(LN(2)/2)*AQ136*AT136*VLOOKUP('Données projet'!$B$10,Paramètres!$A$1:$I$89,3,0)*0.475*44/12</f>
        <v>5.1477862455073797E-4</v>
      </c>
      <c r="AX136" s="21">
        <f t="shared" si="114"/>
        <v>145.44778104058287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-1.3596945791505279E-13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284.60021367910457</v>
      </c>
      <c r="BJ136" s="59">
        <f t="shared" si="146"/>
        <v>301.41905904220812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52.367516177367314</v>
      </c>
      <c r="BQ136" s="21">
        <f>EXP(-LN(2)/25)*BQ135+(1-EXP(-LN(2)/25))/(LN(2)/25)*Calculateur!BL136*Calculateur!BN136*VLOOKUP('Données projet'!$B$11,Paramètres!$A$1:$I$89,3,0)*0.475*44/12</f>
        <v>7.0788828847406773</v>
      </c>
      <c r="BR136" s="21">
        <f>EXP(-LN(2)/2)*BR135+(1-EXP(-LN(2)/2))/(LN(2)/2)*BL136*BO136*VLOOKUP('Données projet'!$B$11,Paramètres!$A$1:$I$89,3,0)*0.475*44/12</f>
        <v>2.9261715421619278E-9</v>
      </c>
      <c r="BS136" s="22">
        <f t="shared" si="117"/>
        <v>59.446399065034164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-3.4106051316484809E-13</v>
      </c>
      <c r="BZ136" s="13">
        <f>BY136*VLOOKUP('Données projet'!$B$12,Paramètres!$A$1:$I$89,3,0)*VLOOKUP('Données projet'!$B$12,Paramètres!$A$1:$I$89,5,0)</f>
        <v>-1.9065282685915009E-13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490.96084572840579</v>
      </c>
      <c r="CE136" s="59">
        <f t="shared" si="148"/>
        <v>597.91658789908263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80.675358677078776</v>
      </c>
      <c r="CL136" s="21">
        <f>EXP(-LN(2)/25)*CL135+(1-EXP(-LN(2)/25))/(LN(2)/25)*Calculateur!CG136*Calculateur!CI136*VLOOKUP('Données projet'!$B$12,Paramètres!$A$1:$I$89,3,0)*0.475*44/12</f>
        <v>11.154989786795433</v>
      </c>
      <c r="CM136" s="21">
        <f>EXP(-LN(2)/2)*CM135+(1-EXP(-LN(2)/2))/(LN(2)/2)*CG136*CJ136*VLOOKUP('Données projet'!$B$12,Paramètres!$A$1:$I$89,3,0)*0.475*44/12</f>
        <v>3.7787487194242253E-9</v>
      </c>
      <c r="CN136" s="22">
        <f t="shared" si="120"/>
        <v>91.830348467652954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-1.064108801074326E-13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482.28841373508675</v>
      </c>
      <c r="T137" s="59">
        <f t="shared" si="142"/>
        <v>746.97309214631684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111.75049316670714</v>
      </c>
      <c r="AA137" s="21">
        <f>EXP(-LN(2)/25)*AA136+(1-EXP(-LN(2)/25))/(LN(2)/25)*Calculateur!V137*Calculateur!X137*VLOOKUP('Données projet'!$B$9,Paramètres!$A$1:$I$89,3,0)*0.475*44/12</f>
        <v>15.524319392434743</v>
      </c>
      <c r="AB137" s="21">
        <f>EXP(-LN(2)/2)*AB136+(1-EXP(-LN(2)/2))/(LN(2)/2)*V137*Y137*VLOOKUP('Données projet'!$B$9,Paramètres!$A$1:$I$89,3,0)*0.475*44/12</f>
        <v>1.530661515912845E-7</v>
      </c>
      <c r="AC137" s="22">
        <f t="shared" si="111"/>
        <v>127.27481271220805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-5.3205440053716299E-14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259.91478350500478</v>
      </c>
      <c r="AO137" s="59">
        <f t="shared" si="144"/>
        <v>192.27194887051007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121.32485891060875</v>
      </c>
      <c r="AV137" s="21">
        <f>EXP(-LN(2)/25)*AV136+(1-EXP(-LN(2)/25))/(LN(2)/25)*Calculateur!AQ137*Calculateur!AS137*VLOOKUP('Données projet'!$B$10,Paramètres!$A$1:$I$89,3,0)*0.475*44/12</f>
        <v>21.102444445186215</v>
      </c>
      <c r="AW137" s="21">
        <f>EXP(-LN(2)/2)*AW136+(1-EXP(-LN(2)/2))/(LN(2)/2)*AQ137*AT137*VLOOKUP('Données projet'!$B$10,Paramètres!$A$1:$I$89,3,0)*0.475*44/12</f>
        <v>3.6400345622971059E-4</v>
      </c>
      <c r="AX137" s="21">
        <f t="shared" si="114"/>
        <v>142.42766735925122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-1.3596945791505279E-13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284.60021367910457</v>
      </c>
      <c r="BJ137" s="59">
        <f t="shared" si="146"/>
        <v>301.41905904220812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51.340621126160094</v>
      </c>
      <c r="BQ137" s="21">
        <f>EXP(-LN(2)/25)*BQ136+(1-EXP(-LN(2)/25))/(LN(2)/25)*Calculateur!BL137*Calculateur!BN137*VLOOKUP('Données projet'!$B$11,Paramètres!$A$1:$I$89,3,0)*0.475*44/12</f>
        <v>6.8853104599951713</v>
      </c>
      <c r="BR137" s="21">
        <f>EXP(-LN(2)/2)*BR136+(1-EXP(-LN(2)/2))/(LN(2)/2)*BL137*BO137*VLOOKUP('Données projet'!$B$11,Paramètres!$A$1:$I$89,3,0)*0.475*44/12</f>
        <v>2.0691157403777966E-9</v>
      </c>
      <c r="BS137" s="22">
        <f t="shared" si="117"/>
        <v>58.225931588224384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-3.4106051316484809E-13</v>
      </c>
      <c r="BZ137" s="13">
        <f>BY137*VLOOKUP('Données projet'!$B$12,Paramètres!$A$1:$I$89,3,0)*VLOOKUP('Données projet'!$B$12,Paramètres!$A$1:$I$89,5,0)</f>
        <v>-1.9065282685915009E-13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490.96084572840579</v>
      </c>
      <c r="CE137" s="59">
        <f t="shared" si="148"/>
        <v>597.91658789908263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79.093364100531261</v>
      </c>
      <c r="CL137" s="21">
        <f>EXP(-LN(2)/25)*CL136+(1-EXP(-LN(2)/25))/(LN(2)/25)*Calculateur!CG137*Calculateur!CI137*VLOOKUP('Données projet'!$B$12,Paramètres!$A$1:$I$89,3,0)*0.475*44/12</f>
        <v>10.849956004460093</v>
      </c>
      <c r="CM137" s="21">
        <f>EXP(-LN(2)/2)*CM136+(1-EXP(-LN(2)/2))/(LN(2)/2)*CG137*CJ137*VLOOKUP('Données projet'!$B$12,Paramètres!$A$1:$I$89,3,0)*0.475*44/12</f>
        <v>2.6719788439048524E-9</v>
      </c>
      <c r="CN137" s="22">
        <f t="shared" si="120"/>
        <v>89.94332010766334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-1.064108801074326E-13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482.28841373508675</v>
      </c>
      <c r="T138" s="59">
        <f t="shared" si="142"/>
        <v>746.97309214631684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109.5591341567785</v>
      </c>
      <c r="AA138" s="21">
        <f>EXP(-LN(2)/25)*AA137+(1-EXP(-LN(2)/25))/(LN(2)/25)*Calculateur!V138*Calculateur!X138*VLOOKUP('Données projet'!$B$9,Paramètres!$A$1:$I$89,3,0)*0.475*44/12</f>
        <v>15.099806062260139</v>
      </c>
      <c r="AB138" s="21">
        <f>EXP(-LN(2)/2)*AB137+(1-EXP(-LN(2)/2))/(LN(2)/2)*V138*Y138*VLOOKUP('Données projet'!$B$9,Paramètres!$A$1:$I$89,3,0)*0.475*44/12</f>
        <v>1.0823411376032532E-7</v>
      </c>
      <c r="AC138" s="22">
        <f t="shared" si="111"/>
        <v>124.65894032727276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-5.3205440053716299E-14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259.91478350500478</v>
      </c>
      <c r="AO138" s="59">
        <f t="shared" si="144"/>
        <v>192.27194887051007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118.94575242822867</v>
      </c>
      <c r="AV138" s="21">
        <f>EXP(-LN(2)/25)*AV137+(1-EXP(-LN(2)/25))/(LN(2)/25)*Calculateur!AQ138*Calculateur!AS138*VLOOKUP('Données projet'!$B$10,Paramètres!$A$1:$I$89,3,0)*0.475*44/12</f>
        <v>20.525396992103275</v>
      </c>
      <c r="AW138" s="21">
        <f>EXP(-LN(2)/2)*AW137+(1-EXP(-LN(2)/2))/(LN(2)/2)*AQ138*AT138*VLOOKUP('Données projet'!$B$10,Paramètres!$A$1:$I$89,3,0)*0.475*44/12</f>
        <v>2.5738931227536899E-4</v>
      </c>
      <c r="AX138" s="21">
        <f t="shared" si="114"/>
        <v>139.47140680964424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-1.3596945791505279E-13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284.60021367910457</v>
      </c>
      <c r="BJ138" s="59">
        <f t="shared" si="146"/>
        <v>301.41905904220812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50.333862860562917</v>
      </c>
      <c r="BQ138" s="21">
        <f>EXP(-LN(2)/25)*BQ137+(1-EXP(-LN(2)/25))/(LN(2)/25)*Calculateur!BL138*Calculateur!BN138*VLOOKUP('Données projet'!$B$11,Paramètres!$A$1:$I$89,3,0)*0.475*44/12</f>
        <v>6.697031283383863</v>
      </c>
      <c r="BR138" s="21">
        <f>EXP(-LN(2)/2)*BR137+(1-EXP(-LN(2)/2))/(LN(2)/2)*BL138*BO138*VLOOKUP('Données projet'!$B$11,Paramètres!$A$1:$I$89,3,0)*0.475*44/12</f>
        <v>1.4630857710809639E-9</v>
      </c>
      <c r="BS138" s="22">
        <f t="shared" si="117"/>
        <v>57.030894145409867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-3.4106051316484809E-13</v>
      </c>
      <c r="BZ138" s="13">
        <f>BY138*VLOOKUP('Données projet'!$B$12,Paramètres!$A$1:$I$89,3,0)*VLOOKUP('Données projet'!$B$12,Paramètres!$A$1:$I$89,5,0)</f>
        <v>-1.9065282685915009E-13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490.96084572840579</v>
      </c>
      <c r="CE138" s="59">
        <f t="shared" si="148"/>
        <v>597.91658789908263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77.542391472708417</v>
      </c>
      <c r="CL138" s="21">
        <f>EXP(-LN(2)/25)*CL137+(1-EXP(-LN(2)/25))/(LN(2)/25)*Calculateur!CG138*Calculateur!CI138*VLOOKUP('Données projet'!$B$12,Paramètres!$A$1:$I$89,3,0)*0.475*44/12</f>
        <v>10.553263386943744</v>
      </c>
      <c r="CM138" s="21">
        <f>EXP(-LN(2)/2)*CM137+(1-EXP(-LN(2)/2))/(LN(2)/2)*CG138*CJ138*VLOOKUP('Données projet'!$B$12,Paramètres!$A$1:$I$89,3,0)*0.475*44/12</f>
        <v>1.8893743597121127E-9</v>
      </c>
      <c r="CN138" s="22">
        <f t="shared" si="120"/>
        <v>88.095654861541533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-1.064108801074326E-13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482.28841373508675</v>
      </c>
      <c r="T139" s="59">
        <f t="shared" si="142"/>
        <v>746.97309214631684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107.41074636043754</v>
      </c>
      <c r="AA139" s="21">
        <f>EXP(-LN(2)/25)*AA138+(1-EXP(-LN(2)/25))/(LN(2)/25)*Calculateur!V139*Calculateur!X139*VLOOKUP('Données projet'!$B$9,Paramètres!$A$1:$I$89,3,0)*0.475*44/12</f>
        <v>14.686901071423346</v>
      </c>
      <c r="AB139" s="21">
        <f>EXP(-LN(2)/2)*AB138+(1-EXP(-LN(2)/2))/(LN(2)/2)*V139*Y139*VLOOKUP('Données projet'!$B$9,Paramètres!$A$1:$I$89,3,0)*0.475*44/12</f>
        <v>7.6533075795642249E-8</v>
      </c>
      <c r="AC139" s="22">
        <f t="shared" si="111"/>
        <v>122.09764750839396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-5.3205440053716299E-14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259.91478350500478</v>
      </c>
      <c r="AO139" s="59">
        <f t="shared" si="144"/>
        <v>192.27194887051007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116.6132987728564</v>
      </c>
      <c r="AV139" s="21">
        <f>EXP(-LN(2)/25)*AV138+(1-EXP(-LN(2)/25))/(LN(2)/25)*Calculateur!AQ139*Calculateur!AS139*VLOOKUP('Données projet'!$B$10,Paramètres!$A$1:$I$89,3,0)*0.475*44/12</f>
        <v>19.964128931970496</v>
      </c>
      <c r="AW139" s="21">
        <f>EXP(-LN(2)/2)*AW138+(1-EXP(-LN(2)/2))/(LN(2)/2)*AQ139*AT139*VLOOKUP('Données projet'!$B$10,Paramètres!$A$1:$I$89,3,0)*0.475*44/12</f>
        <v>1.820017281148553E-4</v>
      </c>
      <c r="AX139" s="21">
        <f t="shared" si="114"/>
        <v>136.57760970655502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-1.3596945791505279E-13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284.60021367910457</v>
      </c>
      <c r="BJ139" s="59">
        <f t="shared" si="146"/>
        <v>301.41905904220812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49.346846510492185</v>
      </c>
      <c r="BQ139" s="21">
        <f>EXP(-LN(2)/25)*BQ138+(1-EXP(-LN(2)/25))/(LN(2)/25)*Calculateur!BL139*Calculateur!BN139*VLOOKUP('Données projet'!$B$11,Paramètres!$A$1:$I$89,3,0)*0.475*44/12</f>
        <v>6.5139006107581627</v>
      </c>
      <c r="BR139" s="21">
        <f>EXP(-LN(2)/2)*BR138+(1-EXP(-LN(2)/2))/(LN(2)/2)*BL139*BO139*VLOOKUP('Données projet'!$B$11,Paramètres!$A$1:$I$89,3,0)*0.475*44/12</f>
        <v>1.0345578701888983E-9</v>
      </c>
      <c r="BS139" s="22">
        <f t="shared" si="117"/>
        <v>55.860747122284906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-3.4106051316484809E-13</v>
      </c>
      <c r="BZ139" s="13">
        <f>BY139*VLOOKUP('Données projet'!$B$12,Paramètres!$A$1:$I$89,3,0)*VLOOKUP('Données projet'!$B$12,Paramètres!$A$1:$I$89,5,0)</f>
        <v>-1.9065282685915009E-13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490.96084572840579</v>
      </c>
      <c r="CE139" s="59">
        <f t="shared" si="148"/>
        <v>597.91658789908263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76.021832472117296</v>
      </c>
      <c r="CL139" s="21">
        <f>EXP(-LN(2)/25)*CL138+(1-EXP(-LN(2)/25))/(LN(2)/25)*Calculateur!CG139*Calculateur!CI139*VLOOKUP('Données projet'!$B$12,Paramètres!$A$1:$I$89,3,0)*0.475*44/12</f>
        <v>10.264683844655766</v>
      </c>
      <c r="CM139" s="21">
        <f>EXP(-LN(2)/2)*CM138+(1-EXP(-LN(2)/2))/(LN(2)/2)*CG139*CJ139*VLOOKUP('Données projet'!$B$12,Paramètres!$A$1:$I$89,3,0)*0.475*44/12</f>
        <v>1.3359894219524262E-9</v>
      </c>
      <c r="CN139" s="22">
        <f t="shared" si="120"/>
        <v>86.286516318109051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-1.064108801074326E-13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482.28841373508675</v>
      </c>
      <c r="T140" s="59">
        <f t="shared" si="142"/>
        <v>746.97309214631684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105.30448713839566</v>
      </c>
      <c r="AA140" s="21">
        <f>EXP(-LN(2)/25)*AA139+(1-EXP(-LN(2)/25))/(LN(2)/25)*Calculateur!V140*Calculateur!X140*VLOOKUP('Données projet'!$B$9,Paramètres!$A$1:$I$89,3,0)*0.475*44/12</f>
        <v>14.285286989274715</v>
      </c>
      <c r="AB140" s="21">
        <f>EXP(-LN(2)/2)*AB139+(1-EXP(-LN(2)/2))/(LN(2)/2)*V140*Y140*VLOOKUP('Données projet'!$B$9,Paramètres!$A$1:$I$89,3,0)*0.475*44/12</f>
        <v>5.4117056880162661E-8</v>
      </c>
      <c r="AC140" s="22">
        <f t="shared" si="111"/>
        <v>119.58977418178742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-5.3205440053716299E-14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259.91478350500478</v>
      </c>
      <c r="AO140" s="59">
        <f t="shared" si="144"/>
        <v>192.27194887051007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114.32658311100971</v>
      </c>
      <c r="AV140" s="21">
        <f>EXP(-LN(2)/25)*AV139+(1-EXP(-LN(2)/25))/(LN(2)/25)*Calculateur!AQ140*Calculateur!AS140*VLOOKUP('Données projet'!$B$10,Paramètres!$A$1:$I$89,3,0)*0.475*44/12</f>
        <v>19.418208776457853</v>
      </c>
      <c r="AW140" s="21">
        <f>EXP(-LN(2)/2)*AW139+(1-EXP(-LN(2)/2))/(LN(2)/2)*AQ140*AT140*VLOOKUP('Données projet'!$B$10,Paramètres!$A$1:$I$89,3,0)*0.475*44/12</f>
        <v>1.2869465613768449E-4</v>
      </c>
      <c r="AX140" s="21">
        <f t="shared" si="114"/>
        <v>133.74492058212368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-1.3596945791505279E-13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284.60021367910457</v>
      </c>
      <c r="BJ140" s="59">
        <f t="shared" si="146"/>
        <v>301.41905904220812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48.379184949025813</v>
      </c>
      <c r="BQ140" s="21">
        <f>EXP(-LN(2)/25)*BQ139+(1-EXP(-LN(2)/25))/(LN(2)/25)*Calculateur!BL140*Calculateur!BN140*VLOOKUP('Données projet'!$B$11,Paramètres!$A$1:$I$89,3,0)*0.475*44/12</f>
        <v>6.3357776560058356</v>
      </c>
      <c r="BR140" s="21">
        <f>EXP(-LN(2)/2)*BR139+(1-EXP(-LN(2)/2))/(LN(2)/2)*BL140*BO140*VLOOKUP('Données projet'!$B$11,Paramètres!$A$1:$I$89,3,0)*0.475*44/12</f>
        <v>7.3154288554048195E-10</v>
      </c>
      <c r="BS140" s="22">
        <f t="shared" si="117"/>
        <v>54.714962605763198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-3.4106051316484809E-13</v>
      </c>
      <c r="BZ140" s="13">
        <f>BY140*VLOOKUP('Données projet'!$B$12,Paramètres!$A$1:$I$89,3,0)*VLOOKUP('Données projet'!$B$12,Paramètres!$A$1:$I$89,5,0)</f>
        <v>-1.9065282685915009E-13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490.96084572840579</v>
      </c>
      <c r="CE140" s="59">
        <f t="shared" si="148"/>
        <v>597.91658789908263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74.531090706078345</v>
      </c>
      <c r="CL140" s="21">
        <f>EXP(-LN(2)/25)*CL139+(1-EXP(-LN(2)/25))/(LN(2)/25)*Calculateur!CG140*Calculateur!CI140*VLOOKUP('Données projet'!$B$12,Paramètres!$A$1:$I$89,3,0)*0.475*44/12</f>
        <v>9.9839955251273906</v>
      </c>
      <c r="CM140" s="21">
        <f>EXP(-LN(2)/2)*CM139+(1-EXP(-LN(2)/2))/(LN(2)/2)*CG140*CJ140*VLOOKUP('Données projet'!$B$12,Paramètres!$A$1:$I$89,3,0)*0.475*44/12</f>
        <v>9.4468717985605633E-10</v>
      </c>
      <c r="CN140" s="22">
        <f t="shared" si="120"/>
        <v>84.515086232150423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-1.064108801074326E-13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482.28841373508675</v>
      </c>
      <c r="T141" s="59">
        <f t="shared" si="142"/>
        <v>746.97309214631684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103.23953037500675</v>
      </c>
      <c r="AA141" s="21">
        <f>EXP(-LN(2)/25)*AA140+(1-EXP(-LN(2)/25))/(LN(2)/25)*Calculateur!V141*Calculateur!X141*VLOOKUP('Données projet'!$B$9,Paramètres!$A$1:$I$89,3,0)*0.475*44/12</f>
        <v>13.894655065322404</v>
      </c>
      <c r="AB141" s="21">
        <f>EXP(-LN(2)/2)*AB140+(1-EXP(-LN(2)/2))/(LN(2)/2)*V141*Y141*VLOOKUP('Données projet'!$B$9,Paramètres!$A$1:$I$89,3,0)*0.475*44/12</f>
        <v>3.8266537897821125E-8</v>
      </c>
      <c r="AC141" s="22">
        <f t="shared" si="111"/>
        <v>117.1341854785957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-5.3205440053716299E-14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259.91478350500478</v>
      </c>
      <c r="AO141" s="59">
        <f t="shared" si="144"/>
        <v>192.27194887051007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112.08470854853302</v>
      </c>
      <c r="AV141" s="21">
        <f>EXP(-LN(2)/25)*AV140+(1-EXP(-LN(2)/25))/(LN(2)/25)*Calculateur!AQ141*Calculateur!AS141*VLOOKUP('Données projet'!$B$10,Paramètres!$A$1:$I$89,3,0)*0.475*44/12</f>
        <v>18.887216836306393</v>
      </c>
      <c r="AW141" s="21">
        <f>EXP(-LN(2)/2)*AW140+(1-EXP(-LN(2)/2))/(LN(2)/2)*AQ141*AT141*VLOOKUP('Données projet'!$B$10,Paramètres!$A$1:$I$89,3,0)*0.475*44/12</f>
        <v>9.1000864057427648E-5</v>
      </c>
      <c r="AX141" s="21">
        <f t="shared" si="114"/>
        <v>130.97201638570345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-1.3596945791505279E-13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284.60021367910457</v>
      </c>
      <c r="BJ141" s="59">
        <f t="shared" si="146"/>
        <v>301.41905904220812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47.430498640564522</v>
      </c>
      <c r="BQ141" s="21">
        <f>EXP(-LN(2)/25)*BQ140+(1-EXP(-LN(2)/25))/(LN(2)/25)*Calculateur!BL141*Calculateur!BN141*VLOOKUP('Données projet'!$B$11,Paramètres!$A$1:$I$89,3,0)*0.475*44/12</f>
        <v>6.1625254828182898</v>
      </c>
      <c r="BR141" s="21">
        <f>EXP(-LN(2)/2)*BR140+(1-EXP(-LN(2)/2))/(LN(2)/2)*BL141*BO141*VLOOKUP('Données projet'!$B$11,Paramètres!$A$1:$I$89,3,0)*0.475*44/12</f>
        <v>5.1727893509444915E-10</v>
      </c>
      <c r="BS141" s="22">
        <f t="shared" si="117"/>
        <v>53.593024123900094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-3.4106051316484809E-13</v>
      </c>
      <c r="BZ141" s="13">
        <f>BY141*VLOOKUP('Données projet'!$B$12,Paramètres!$A$1:$I$89,3,0)*VLOOKUP('Données projet'!$B$12,Paramètres!$A$1:$I$89,5,0)</f>
        <v>-1.9065282685915009E-13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490.96084572840579</v>
      </c>
      <c r="CE141" s="59">
        <f t="shared" si="148"/>
        <v>597.91658789908263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73.069581476808736</v>
      </c>
      <c r="CL141" s="21">
        <f>EXP(-LN(2)/25)*CL140+(1-EXP(-LN(2)/25))/(LN(2)/25)*Calculateur!CG141*Calculateur!CI141*VLOOKUP('Données projet'!$B$12,Paramètres!$A$1:$I$89,3,0)*0.475*44/12</f>
        <v>9.7109826424572763</v>
      </c>
      <c r="CM141" s="21">
        <f>EXP(-LN(2)/2)*CM140+(1-EXP(-LN(2)/2))/(LN(2)/2)*CG141*CJ141*VLOOKUP('Données projet'!$B$12,Paramètres!$A$1:$I$89,3,0)*0.475*44/12</f>
        <v>6.679947109762131E-10</v>
      </c>
      <c r="CN141" s="22">
        <f t="shared" si="120"/>
        <v>82.780564119934013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-1.064108801074326E-13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482.28841373508675</v>
      </c>
      <c r="T142" s="59">
        <f t="shared" si="142"/>
        <v>746.97309214631684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101.21506615424863</v>
      </c>
      <c r="AA142" s="21">
        <f>EXP(-LN(2)/25)*AA141+(1-EXP(-LN(2)/25))/(LN(2)/25)*Calculateur!V142*Calculateur!X142*VLOOKUP('Données projet'!$B$9,Paramètres!$A$1:$I$89,3,0)*0.475*44/12</f>
        <v>13.514704991873009</v>
      </c>
      <c r="AB142" s="21">
        <f>EXP(-LN(2)/2)*AB141+(1-EXP(-LN(2)/2))/(LN(2)/2)*V142*Y142*VLOOKUP('Données projet'!$B$9,Paramètres!$A$1:$I$89,3,0)*0.475*44/12</f>
        <v>2.7058528440081331E-8</v>
      </c>
      <c r="AC142" s="22">
        <f t="shared" si="111"/>
        <v>114.72977117318017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-5.3205440053716299E-14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259.91478350500478</v>
      </c>
      <c r="AO142" s="59">
        <f t="shared" si="144"/>
        <v>192.27194887051007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109.88679577881803</v>
      </c>
      <c r="AV142" s="21">
        <f>EXP(-LN(2)/25)*AV141+(1-EXP(-LN(2)/25))/(LN(2)/25)*Calculateur!AQ142*Calculateur!AS142*VLOOKUP('Données projet'!$B$10,Paramètres!$A$1:$I$89,3,0)*0.475*44/12</f>
        <v>18.37074489868203</v>
      </c>
      <c r="AW142" s="21">
        <f>EXP(-LN(2)/2)*AW141+(1-EXP(-LN(2)/2))/(LN(2)/2)*AQ142*AT142*VLOOKUP('Données projet'!$B$10,Paramètres!$A$1:$I$89,3,0)*0.475*44/12</f>
        <v>6.4347328068842247E-5</v>
      </c>
      <c r="AX142" s="21">
        <f t="shared" si="114"/>
        <v>128.25760502482814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-1.3596945791505279E-13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284.60021367910457</v>
      </c>
      <c r="BJ142" s="59">
        <f t="shared" si="146"/>
        <v>301.41905904220812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46.500415491970649</v>
      </c>
      <c r="BQ142" s="21">
        <f>EXP(-LN(2)/25)*BQ141+(1-EXP(-LN(2)/25))/(LN(2)/25)*Calculateur!BL142*Calculateur!BN142*VLOOKUP('Données projet'!$B$11,Paramètres!$A$1:$I$89,3,0)*0.475*44/12</f>
        <v>5.9940108994174928</v>
      </c>
      <c r="BR142" s="21">
        <f>EXP(-LN(2)/2)*BR141+(1-EXP(-LN(2)/2))/(LN(2)/2)*BL142*BO142*VLOOKUP('Données projet'!$B$11,Paramètres!$A$1:$I$89,3,0)*0.475*44/12</f>
        <v>3.6577144277024098E-10</v>
      </c>
      <c r="BS142" s="22">
        <f t="shared" si="117"/>
        <v>52.494426391753919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-3.4106051316484809E-13</v>
      </c>
      <c r="BZ142" s="13">
        <f>BY142*VLOOKUP('Données projet'!$B$12,Paramètres!$A$1:$I$89,3,0)*VLOOKUP('Données projet'!$B$12,Paramètres!$A$1:$I$89,5,0)</f>
        <v>-1.9065282685915009E-13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490.96084572840579</v>
      </c>
      <c r="CE142" s="59">
        <f t="shared" si="148"/>
        <v>597.91658789908263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71.636731552092485</v>
      </c>
      <c r="CL142" s="21">
        <f>EXP(-LN(2)/25)*CL141+(1-EXP(-LN(2)/25))/(LN(2)/25)*Calculateur!CG142*Calculateur!CI142*VLOOKUP('Données projet'!$B$12,Paramètres!$A$1:$I$89,3,0)*0.475*44/12</f>
        <v>9.4454353114208995</v>
      </c>
      <c r="CM142" s="21">
        <f>EXP(-LN(2)/2)*CM141+(1-EXP(-LN(2)/2))/(LN(2)/2)*CG142*CJ142*VLOOKUP('Données projet'!$B$12,Paramètres!$A$1:$I$89,3,0)*0.475*44/12</f>
        <v>4.7234358992802816E-10</v>
      </c>
      <c r="CN142" s="22">
        <f t="shared" si="120"/>
        <v>81.082166863985719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-1.064108801074326E-13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482.28841373508675</v>
      </c>
      <c r="T143" s="59">
        <f t="shared" si="142"/>
        <v>746.97309214631684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99.230300442058336</v>
      </c>
      <c r="AA143" s="21">
        <f>EXP(-LN(2)/25)*AA142+(1-EXP(-LN(2)/25))/(LN(2)/25)*Calculateur!V143*Calculateur!X143*VLOOKUP('Données projet'!$B$9,Paramètres!$A$1:$I$89,3,0)*0.475*44/12</f>
        <v>13.145144673162793</v>
      </c>
      <c r="AB143" s="21">
        <f>EXP(-LN(2)/2)*AB142+(1-EXP(-LN(2)/2))/(LN(2)/2)*V143*Y143*VLOOKUP('Données projet'!$B$9,Paramètres!$A$1:$I$89,3,0)*0.475*44/12</f>
        <v>1.9133268948910562E-8</v>
      </c>
      <c r="AC143" s="22">
        <f t="shared" si="111"/>
        <v>112.37544513435439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-5.3205440053716299E-14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259.91478350500478</v>
      </c>
      <c r="AO143" s="59">
        <f t="shared" si="144"/>
        <v>192.27194887051007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107.73198273792272</v>
      </c>
      <c r="AV143" s="21">
        <f>EXP(-LN(2)/25)*AV142+(1-EXP(-LN(2)/25))/(LN(2)/25)*Calculateur!AQ143*Calculateur!AS143*VLOOKUP('Données projet'!$B$10,Paramètres!$A$1:$I$89,3,0)*0.475*44/12</f>
        <v>17.868395913352082</v>
      </c>
      <c r="AW143" s="21">
        <f>EXP(-LN(2)/2)*AW142+(1-EXP(-LN(2)/2))/(LN(2)/2)*AQ143*AT143*VLOOKUP('Données projet'!$B$10,Paramètres!$A$1:$I$89,3,0)*0.475*44/12</f>
        <v>4.5500432028713824E-5</v>
      </c>
      <c r="AX143" s="21">
        <f t="shared" si="114"/>
        <v>125.60042415170683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-1.3596945791505279E-13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284.60021367910457</v>
      </c>
      <c r="BJ143" s="59">
        <f t="shared" si="146"/>
        <v>301.41905904220812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45.588570706625994</v>
      </c>
      <c r="BQ143" s="21">
        <f>EXP(-LN(2)/25)*BQ142+(1-EXP(-LN(2)/25))/(LN(2)/25)*Calculateur!BL143*Calculateur!BN143*VLOOKUP('Données projet'!$B$11,Paramètres!$A$1:$I$89,3,0)*0.475*44/12</f>
        <v>5.8301043561615877</v>
      </c>
      <c r="BR143" s="21">
        <f>EXP(-LN(2)/2)*BR142+(1-EXP(-LN(2)/2))/(LN(2)/2)*BL143*BO143*VLOOKUP('Données projet'!$B$11,Paramètres!$A$1:$I$89,3,0)*0.475*44/12</f>
        <v>2.5863946754722457E-10</v>
      </c>
      <c r="BS143" s="22">
        <f t="shared" si="117"/>
        <v>51.418675063046223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-3.4106051316484809E-13</v>
      </c>
      <c r="BZ143" s="13">
        <f>BY143*VLOOKUP('Données projet'!$B$12,Paramètres!$A$1:$I$89,3,0)*VLOOKUP('Données projet'!$B$12,Paramètres!$A$1:$I$89,5,0)</f>
        <v>-1.9065282685915009E-13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490.96084572840579</v>
      </c>
      <c r="CE143" s="59">
        <f t="shared" si="148"/>
        <v>597.91658789908263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70.23197894044776</v>
      </c>
      <c r="CL143" s="21">
        <f>EXP(-LN(2)/25)*CL142+(1-EXP(-LN(2)/25))/(LN(2)/25)*Calculateur!CG143*Calculateur!CI143*VLOOKUP('Données projet'!$B$12,Paramètres!$A$1:$I$89,3,0)*0.475*44/12</f>
        <v>9.1871493861162392</v>
      </c>
      <c r="CM143" s="21">
        <f>EXP(-LN(2)/2)*CM142+(1-EXP(-LN(2)/2))/(LN(2)/2)*CG143*CJ143*VLOOKUP('Données projet'!$B$12,Paramètres!$A$1:$I$89,3,0)*0.475*44/12</f>
        <v>3.3399735548810655E-10</v>
      </c>
      <c r="CN143" s="22">
        <f t="shared" si="120"/>
        <v>79.41912832689799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-1.064108801074326E-13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482.28841373508675</v>
      </c>
      <c r="T144" s="59">
        <f t="shared" si="142"/>
        <v>746.97309214631684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97.284454774896545</v>
      </c>
      <c r="AA144" s="21">
        <f>EXP(-LN(2)/25)*AA143+(1-EXP(-LN(2)/25))/(LN(2)/25)*Calculateur!V144*Calculateur!X144*VLOOKUP('Données projet'!$B$9,Paramètres!$A$1:$I$89,3,0)*0.475*44/12</f>
        <v>12.785690000802042</v>
      </c>
      <c r="AB144" s="21">
        <f>EXP(-LN(2)/2)*AB143+(1-EXP(-LN(2)/2))/(LN(2)/2)*V144*Y144*VLOOKUP('Données projet'!$B$9,Paramètres!$A$1:$I$89,3,0)*0.475*44/12</f>
        <v>1.3529264220040665E-8</v>
      </c>
      <c r="AC144" s="22">
        <f t="shared" si="111"/>
        <v>110.07014478922785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-5.3205440053716299E-14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259.91478350500478</v>
      </c>
      <c r="AO144" s="59">
        <f t="shared" si="144"/>
        <v>192.27194887051007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105.61942426645319</v>
      </c>
      <c r="AV144" s="21">
        <f>EXP(-LN(2)/25)*AV143+(1-EXP(-LN(2)/25))/(LN(2)/25)*Calculateur!AQ144*Calculateur!AS144*VLOOKUP('Données projet'!$B$10,Paramètres!$A$1:$I$89,3,0)*0.475*44/12</f>
        <v>17.379783687443368</v>
      </c>
      <c r="AW144" s="21">
        <f>EXP(-LN(2)/2)*AW143+(1-EXP(-LN(2)/2))/(LN(2)/2)*AQ144*AT144*VLOOKUP('Données projet'!$B$10,Paramètres!$A$1:$I$89,3,0)*0.475*44/12</f>
        <v>3.2173664034421123E-5</v>
      </c>
      <c r="AX144" s="21">
        <f t="shared" si="114"/>
        <v>122.9992401275606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-1.3596945791505279E-13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284.60021367910457</v>
      </c>
      <c r="BJ144" s="59">
        <f t="shared" si="146"/>
        <v>301.41905904220812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44.694606641351548</v>
      </c>
      <c r="BQ144" s="21">
        <f>EXP(-LN(2)/25)*BQ143+(1-EXP(-LN(2)/25))/(LN(2)/25)*Calculateur!BL144*Calculateur!BN144*VLOOKUP('Données projet'!$B$11,Paramètres!$A$1:$I$89,3,0)*0.475*44/12</f>
        <v>5.6706798459504855</v>
      </c>
      <c r="BR144" s="21">
        <f>EXP(-LN(2)/2)*BR143+(1-EXP(-LN(2)/2))/(LN(2)/2)*BL144*BO144*VLOOKUP('Données projet'!$B$11,Paramètres!$A$1:$I$89,3,0)*0.475*44/12</f>
        <v>1.8288572138512049E-10</v>
      </c>
      <c r="BS144" s="22">
        <f t="shared" si="117"/>
        <v>50.365286487484923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-3.4106051316484809E-13</v>
      </c>
      <c r="BZ144" s="13">
        <f>BY144*VLOOKUP('Données projet'!$B$12,Paramètres!$A$1:$I$89,3,0)*VLOOKUP('Données projet'!$B$12,Paramètres!$A$1:$I$89,5,0)</f>
        <v>-1.9065282685915009E-13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490.96084572840579</v>
      </c>
      <c r="CE144" s="59">
        <f t="shared" si="148"/>
        <v>597.91658789908263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68.8547726707029</v>
      </c>
      <c r="CL144" s="21">
        <f>EXP(-LN(2)/25)*CL143+(1-EXP(-LN(2)/25))/(LN(2)/25)*Calculateur!CG144*Calculateur!CI144*VLOOKUP('Données projet'!$B$12,Paramètres!$A$1:$I$89,3,0)*0.475*44/12</f>
        <v>8.9359263030217022</v>
      </c>
      <c r="CM144" s="21">
        <f>EXP(-LN(2)/2)*CM143+(1-EXP(-LN(2)/2))/(LN(2)/2)*CG144*CJ144*VLOOKUP('Données projet'!$B$12,Paramètres!$A$1:$I$89,3,0)*0.475*44/12</f>
        <v>2.3617179496401408E-10</v>
      </c>
      <c r="CN144" s="22">
        <f t="shared" si="120"/>
        <v>77.790698973960772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-1.064108801074326E-13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482.28841373508675</v>
      </c>
      <c r="T145" s="59">
        <f t="shared" si="142"/>
        <v>746.97309214631684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95.376765954419128</v>
      </c>
      <c r="AA145" s="21">
        <f>EXP(-LN(2)/25)*AA144+(1-EXP(-LN(2)/25))/(LN(2)/25)*Calculateur!V145*Calculateur!X145*VLOOKUP('Données projet'!$B$9,Paramètres!$A$1:$I$89,3,0)*0.475*44/12</f>
        <v>12.436064635359894</v>
      </c>
      <c r="AB145" s="21">
        <f>EXP(-LN(2)/2)*AB144+(1-EXP(-LN(2)/2))/(LN(2)/2)*V145*Y145*VLOOKUP('Données projet'!$B$9,Paramètres!$A$1:$I$89,3,0)*0.475*44/12</f>
        <v>9.5666344744552812E-9</v>
      </c>
      <c r="AC145" s="22">
        <f t="shared" si="111"/>
        <v>107.81283059934566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-5.3205440053716299E-14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259.91478350500478</v>
      </c>
      <c r="AO145" s="59">
        <f t="shared" si="144"/>
        <v>192.27194887051007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103.54829177807575</v>
      </c>
      <c r="AV145" s="21">
        <f>EXP(-LN(2)/25)*AV144+(1-EXP(-LN(2)/25))/(LN(2)/25)*Calculateur!AQ145*Calculateur!AS145*VLOOKUP('Données projet'!$B$10,Paramètres!$A$1:$I$89,3,0)*0.475*44/12</f>
        <v>16.904532588547127</v>
      </c>
      <c r="AW145" s="21">
        <f>EXP(-LN(2)/2)*AW144+(1-EXP(-LN(2)/2))/(LN(2)/2)*AQ145*AT145*VLOOKUP('Données projet'!$B$10,Paramètres!$A$1:$I$89,3,0)*0.475*44/12</f>
        <v>2.2750216014356912E-5</v>
      </c>
      <c r="AX145" s="21">
        <f t="shared" si="114"/>
        <v>120.4528471168389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-1.3596945791505279E-13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284.60021367910457</v>
      </c>
      <c r="BJ145" s="59">
        <f t="shared" si="146"/>
        <v>301.41905904220812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43.818172666132895</v>
      </c>
      <c r="BQ145" s="21">
        <f>EXP(-LN(2)/25)*BQ144+(1-EXP(-LN(2)/25))/(LN(2)/25)*Calculateur!BL145*Calculateur!BN145*VLOOKUP('Données projet'!$B$11,Paramètres!$A$1:$I$89,3,0)*0.475*44/12</f>
        <v>5.5156148073548765</v>
      </c>
      <c r="BR145" s="21">
        <f>EXP(-LN(2)/2)*BR144+(1-EXP(-LN(2)/2))/(LN(2)/2)*BL145*BO145*VLOOKUP('Données projet'!$B$11,Paramètres!$A$1:$I$89,3,0)*0.475*44/12</f>
        <v>1.2931973377361229E-10</v>
      </c>
      <c r="BS145" s="22">
        <f t="shared" si="117"/>
        <v>49.333787473617093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-3.4106051316484809E-13</v>
      </c>
      <c r="BZ145" s="13">
        <f>BY145*VLOOKUP('Données projet'!$B$12,Paramètres!$A$1:$I$89,3,0)*VLOOKUP('Données projet'!$B$12,Paramètres!$A$1:$I$89,5,0)</f>
        <v>-1.9065282685915009E-13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490.96084572840579</v>
      </c>
      <c r="CE145" s="59">
        <f t="shared" si="148"/>
        <v>597.91658789908263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67.504572575894855</v>
      </c>
      <c r="CL145" s="21">
        <f>EXP(-LN(2)/25)*CL144+(1-EXP(-LN(2)/25))/(LN(2)/25)*Calculateur!CG145*Calculateur!CI145*VLOOKUP('Données projet'!$B$12,Paramètres!$A$1:$I$89,3,0)*0.475*44/12</f>
        <v>8.6915729283456322</v>
      </c>
      <c r="CM145" s="21">
        <f>EXP(-LN(2)/2)*CM144+(1-EXP(-LN(2)/2))/(LN(2)/2)*CG145*CJ145*VLOOKUP('Données projet'!$B$12,Paramètres!$A$1:$I$89,3,0)*0.475*44/12</f>
        <v>1.6699867774405328E-10</v>
      </c>
      <c r="CN145" s="22">
        <f t="shared" si="120"/>
        <v>76.196145504407482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-1.064108801074326E-13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482.28841373508675</v>
      </c>
      <c r="T146" s="59">
        <f t="shared" si="142"/>
        <v>746.97309214631684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93.506485748135987</v>
      </c>
      <c r="AA146" s="21">
        <f>EXP(-LN(2)/25)*AA145+(1-EXP(-LN(2)/25))/(LN(2)/25)*Calculateur!V146*Calculateur!X146*VLOOKUP('Données projet'!$B$9,Paramètres!$A$1:$I$89,3,0)*0.475*44/12</f>
        <v>12.095999793921761</v>
      </c>
      <c r="AB146" s="21">
        <f>EXP(-LN(2)/2)*AB145+(1-EXP(-LN(2)/2))/(LN(2)/2)*V146*Y146*VLOOKUP('Données projet'!$B$9,Paramètres!$A$1:$I$89,3,0)*0.475*44/12</f>
        <v>6.7646321100203326E-9</v>
      </c>
      <c r="AC146" s="22">
        <f t="shared" si="111"/>
        <v>105.60248554882239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-5.3205440053716299E-14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259.91478350500478</v>
      </c>
      <c r="AO146" s="59">
        <f t="shared" si="144"/>
        <v>192.27194887051007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101.51777293452932</v>
      </c>
      <c r="AV146" s="21">
        <f>EXP(-LN(2)/25)*AV145+(1-EXP(-LN(2)/25))/(LN(2)/25)*Calculateur!AQ146*Calculateur!AS146*VLOOKUP('Données projet'!$B$10,Paramètres!$A$1:$I$89,3,0)*0.475*44/12</f>
        <v>16.442277255942574</v>
      </c>
      <c r="AW146" s="21">
        <f>EXP(-LN(2)/2)*AW145+(1-EXP(-LN(2)/2))/(LN(2)/2)*AQ146*AT146*VLOOKUP('Données projet'!$B$10,Paramètres!$A$1:$I$89,3,0)*0.475*44/12</f>
        <v>1.6086832017210562E-5</v>
      </c>
      <c r="AX146" s="21">
        <f t="shared" si="114"/>
        <v>117.96006627730391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-1.3596945791505279E-13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284.60021367910457</v>
      </c>
      <c r="BJ146" s="59">
        <f t="shared" si="146"/>
        <v>301.41905904220812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42.95892502659634</v>
      </c>
      <c r="BQ146" s="21">
        <f>EXP(-LN(2)/25)*BQ145+(1-EXP(-LN(2)/25))/(LN(2)/25)*Calculateur!BL146*Calculateur!BN146*VLOOKUP('Données projet'!$B$11,Paramètres!$A$1:$I$89,3,0)*0.475*44/12</f>
        <v>5.3647900303941807</v>
      </c>
      <c r="BR146" s="21">
        <f>EXP(-LN(2)/2)*BR145+(1-EXP(-LN(2)/2))/(LN(2)/2)*BL146*BO146*VLOOKUP('Données projet'!$B$11,Paramètres!$A$1:$I$89,3,0)*0.475*44/12</f>
        <v>9.1442860692560244E-11</v>
      </c>
      <c r="BS146" s="22">
        <f t="shared" si="117"/>
        <v>48.323715057081962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-3.4106051316484809E-13</v>
      </c>
      <c r="BZ146" s="13">
        <f>BY146*VLOOKUP('Données projet'!$B$12,Paramètres!$A$1:$I$89,3,0)*VLOOKUP('Données projet'!$B$12,Paramètres!$A$1:$I$89,5,0)</f>
        <v>-1.9065282685915009E-13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490.96084572840579</v>
      </c>
      <c r="CE146" s="59">
        <f t="shared" si="148"/>
        <v>597.91658789908263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66.180849081405256</v>
      </c>
      <c r="CL146" s="21">
        <f>EXP(-LN(2)/25)*CL145+(1-EXP(-LN(2)/25))/(LN(2)/25)*Calculateur!CG146*Calculateur!CI146*VLOOKUP('Données projet'!$B$12,Paramètres!$A$1:$I$89,3,0)*0.475*44/12</f>
        <v>8.4539014095500651</v>
      </c>
      <c r="CM146" s="21">
        <f>EXP(-LN(2)/2)*CM145+(1-EXP(-LN(2)/2))/(LN(2)/2)*CG146*CJ146*VLOOKUP('Données projet'!$B$12,Paramètres!$A$1:$I$89,3,0)*0.475*44/12</f>
        <v>1.1808589748200704E-10</v>
      </c>
      <c r="CN146" s="22">
        <f t="shared" si="120"/>
        <v>74.634750491073419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-1.064108801074326E-13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482.28841373508675</v>
      </c>
      <c r="T147" s="59">
        <f t="shared" si="142"/>
        <v>746.97309214631684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91.672880595939773</v>
      </c>
      <c r="AA147" s="21">
        <f>EXP(-LN(2)/25)*AA146+(1-EXP(-LN(2)/25))/(LN(2)/25)*Calculateur!V147*Calculateur!X147*VLOOKUP('Données projet'!$B$9,Paramètres!$A$1:$I$89,3,0)*0.475*44/12</f>
        <v>11.765234043455987</v>
      </c>
      <c r="AB147" s="21">
        <f>EXP(-LN(2)/2)*AB146+(1-EXP(-LN(2)/2))/(LN(2)/2)*V147*Y147*VLOOKUP('Données projet'!$B$9,Paramètres!$A$1:$I$89,3,0)*0.475*44/12</f>
        <v>4.7833172372276406E-9</v>
      </c>
      <c r="AC147" s="22">
        <f t="shared" si="111"/>
        <v>103.43811464417908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-5.3205440053716299E-14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259.91478350500478</v>
      </c>
      <c r="AO147" s="59">
        <f t="shared" si="144"/>
        <v>192.27194887051007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99.527071327010617</v>
      </c>
      <c r="AV147" s="21">
        <f>EXP(-LN(2)/25)*AV146+(1-EXP(-LN(2)/25))/(LN(2)/25)*Calculateur!AQ147*Calculateur!AS147*VLOOKUP('Données projet'!$B$10,Paramètres!$A$1:$I$89,3,0)*0.475*44/12</f>
        <v>15.992662319717043</v>
      </c>
      <c r="AW147" s="21">
        <f>EXP(-LN(2)/2)*AW146+(1-EXP(-LN(2)/2))/(LN(2)/2)*AQ147*AT147*VLOOKUP('Données projet'!$B$10,Paramètres!$A$1:$I$89,3,0)*0.475*44/12</f>
        <v>1.1375108007178456E-5</v>
      </c>
      <c r="AX147" s="21">
        <f t="shared" si="114"/>
        <v>115.51974502183566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-1.3596945791505279E-13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284.60021367910457</v>
      </c>
      <c r="BJ147" s="59">
        <f t="shared" si="146"/>
        <v>301.41905904220812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42.116526709181784</v>
      </c>
      <c r="BQ147" s="21">
        <f>EXP(-LN(2)/25)*BQ146+(1-EXP(-LN(2)/25))/(LN(2)/25)*Calculateur!BL147*Calculateur!BN147*VLOOKUP('Données projet'!$B$11,Paramètres!$A$1:$I$89,3,0)*0.475*44/12</f>
        <v>5.2180895648910051</v>
      </c>
      <c r="BR147" s="21">
        <f>EXP(-LN(2)/2)*BR146+(1-EXP(-LN(2)/2))/(LN(2)/2)*BL147*BO147*VLOOKUP('Données projet'!$B$11,Paramètres!$A$1:$I$89,3,0)*0.475*44/12</f>
        <v>6.4659866886806143E-11</v>
      </c>
      <c r="BS147" s="22">
        <f t="shared" si="117"/>
        <v>47.334616274137446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-3.4106051316484809E-13</v>
      </c>
      <c r="BZ147" s="13">
        <f>BY147*VLOOKUP('Données projet'!$B$12,Paramètres!$A$1:$I$89,3,0)*VLOOKUP('Données projet'!$B$12,Paramètres!$A$1:$I$89,5,0)</f>
        <v>-1.9065282685915009E-13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490.96084572840579</v>
      </c>
      <c r="CE147" s="59">
        <f t="shared" si="148"/>
        <v>597.91658789908263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64.883082997250995</v>
      </c>
      <c r="CL147" s="21">
        <f>EXP(-LN(2)/25)*CL146+(1-EXP(-LN(2)/25))/(LN(2)/25)*Calculateur!CG147*Calculateur!CI147*VLOOKUP('Données projet'!$B$12,Paramètres!$A$1:$I$89,3,0)*0.475*44/12</f>
        <v>8.2227290309345644</v>
      </c>
      <c r="CM147" s="21">
        <f>EXP(-LN(2)/2)*CM146+(1-EXP(-LN(2)/2))/(LN(2)/2)*CG147*CJ147*VLOOKUP('Données projet'!$B$12,Paramètres!$A$1:$I$89,3,0)*0.475*44/12</f>
        <v>8.3499338872026638E-11</v>
      </c>
      <c r="CN147" s="22">
        <f t="shared" si="120"/>
        <v>73.105812028269057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-1.064108801074326E-13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482.28841373508675</v>
      </c>
      <c r="T148" s="59">
        <f t="shared" si="142"/>
        <v>746.97309214631684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89.875231322389411</v>
      </c>
      <c r="AA148" s="21">
        <f>EXP(-LN(2)/25)*AA147+(1-EXP(-LN(2)/25))/(LN(2)/25)*Calculateur!V148*Calculateur!X148*VLOOKUP('Données projet'!$B$9,Paramètres!$A$1:$I$89,3,0)*0.475*44/12</f>
        <v>11.443513099830914</v>
      </c>
      <c r="AB148" s="21">
        <f>EXP(-LN(2)/2)*AB147+(1-EXP(-LN(2)/2))/(LN(2)/2)*V148*Y148*VLOOKUP('Données projet'!$B$9,Paramètres!$A$1:$I$89,3,0)*0.475*44/12</f>
        <v>3.3823160550101663E-9</v>
      </c>
      <c r="AC148" s="22">
        <f t="shared" si="111"/>
        <v>101.31874442560263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-5.3205440053716299E-14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259.91478350500478</v>
      </c>
      <c r="AO148" s="59">
        <f t="shared" si="144"/>
        <v>192.27194887051007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97.575406163807273</v>
      </c>
      <c r="AV148" s="21">
        <f>EXP(-LN(2)/25)*AV147+(1-EXP(-LN(2)/25))/(LN(2)/25)*Calculateur!AQ148*Calculateur!AS148*VLOOKUP('Données projet'!$B$10,Paramètres!$A$1:$I$89,3,0)*0.475*44/12</f>
        <v>15.555342127566821</v>
      </c>
      <c r="AW148" s="21">
        <f>EXP(-LN(2)/2)*AW147+(1-EXP(-LN(2)/2))/(LN(2)/2)*AQ148*AT148*VLOOKUP('Données projet'!$B$10,Paramètres!$A$1:$I$89,3,0)*0.475*44/12</f>
        <v>8.0434160086052808E-6</v>
      </c>
      <c r="AX148" s="21">
        <f t="shared" si="114"/>
        <v>113.13075633479009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-1.3596945791505279E-13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284.60021367910457</v>
      </c>
      <c r="BJ148" s="59">
        <f t="shared" si="146"/>
        <v>301.41905904220812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41.290647308959485</v>
      </c>
      <c r="BQ148" s="21">
        <f>EXP(-LN(2)/25)*BQ147+(1-EXP(-LN(2)/25))/(LN(2)/25)*Calculateur!BL148*Calculateur!BN148*VLOOKUP('Données projet'!$B$11,Paramètres!$A$1:$I$89,3,0)*0.475*44/12</f>
        <v>5.0754006313316564</v>
      </c>
      <c r="BR148" s="21">
        <f>EXP(-LN(2)/2)*BR147+(1-EXP(-LN(2)/2))/(LN(2)/2)*BL148*BO148*VLOOKUP('Données projet'!$B$11,Paramètres!$A$1:$I$89,3,0)*0.475*44/12</f>
        <v>4.5721430346280122E-11</v>
      </c>
      <c r="BS148" s="22">
        <f t="shared" si="117"/>
        <v>46.366047940336863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-3.4106051316484809E-13</v>
      </c>
      <c r="BZ148" s="13">
        <f>BY148*VLOOKUP('Données projet'!$B$12,Paramètres!$A$1:$I$89,3,0)*VLOOKUP('Données projet'!$B$12,Paramètres!$A$1:$I$89,5,0)</f>
        <v>-1.9065282685915009E-13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490.96084572840579</v>
      </c>
      <c r="CE148" s="59">
        <f t="shared" si="148"/>
        <v>597.91658789908263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63.610765314447846</v>
      </c>
      <c r="CL148" s="21">
        <f>EXP(-LN(2)/25)*CL147+(1-EXP(-LN(2)/25))/(LN(2)/25)*Calculateur!CG148*Calculateur!CI148*VLOOKUP('Données projet'!$B$12,Paramètres!$A$1:$I$89,3,0)*0.475*44/12</f>
        <v>7.9978780731691321</v>
      </c>
      <c r="CM148" s="21">
        <f>EXP(-LN(2)/2)*CM147+(1-EXP(-LN(2)/2))/(LN(2)/2)*CG148*CJ148*VLOOKUP('Données projet'!$B$12,Paramètres!$A$1:$I$89,3,0)*0.475*44/12</f>
        <v>5.904294874100352E-11</v>
      </c>
      <c r="CN148" s="22">
        <f t="shared" si="120"/>
        <v>71.608643387676025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-1.064108801074326E-13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482.28841373508675</v>
      </c>
      <c r="T149" s="59">
        <f t="shared" si="142"/>
        <v>746.97309214631684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88.112832854635585</v>
      </c>
      <c r="AA149" s="21">
        <f>EXP(-LN(2)/25)*AA148+(1-EXP(-LN(2)/25))/(LN(2)/25)*Calculateur!V149*Calculateur!X149*VLOOKUP('Données projet'!$B$9,Paramètres!$A$1:$I$89,3,0)*0.475*44/12</f>
        <v>11.130589632327839</v>
      </c>
      <c r="AB149" s="21">
        <f>EXP(-LN(2)/2)*AB148+(1-EXP(-LN(2)/2))/(LN(2)/2)*V149*Y149*VLOOKUP('Données projet'!$B$9,Paramètres!$A$1:$I$89,3,0)*0.475*44/12</f>
        <v>2.3916586186138203E-9</v>
      </c>
      <c r="AC149" s="22">
        <f t="shared" si="111"/>
        <v>99.243422489355083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-5.3205440053716299E-14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259.91478350500478</v>
      </c>
      <c r="AO149" s="59">
        <f t="shared" si="144"/>
        <v>192.27194887051007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95.662011964056148</v>
      </c>
      <c r="AV149" s="21">
        <f>EXP(-LN(2)/25)*AV148+(1-EXP(-LN(2)/25))/(LN(2)/25)*Calculateur!AQ149*Calculateur!AS149*VLOOKUP('Données projet'!$B$10,Paramètres!$A$1:$I$89,3,0)*0.475*44/12</f>
        <v>15.129980479068616</v>
      </c>
      <c r="AW149" s="21">
        <f>EXP(-LN(2)/2)*AW148+(1-EXP(-LN(2)/2))/(LN(2)/2)*AQ149*AT149*VLOOKUP('Données projet'!$B$10,Paramètres!$A$1:$I$89,3,0)*0.475*44/12</f>
        <v>5.687554003589228E-6</v>
      </c>
      <c r="AX149" s="21">
        <f t="shared" si="114"/>
        <v>110.79199813067878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-1.3596945791505279E-13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284.60021367910457</v>
      </c>
      <c r="BJ149" s="59">
        <f t="shared" si="146"/>
        <v>301.41905904220812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40.480962900038854</v>
      </c>
      <c r="BQ149" s="21">
        <f>EXP(-LN(2)/25)*BQ148+(1-EXP(-LN(2)/25))/(LN(2)/25)*Calculateur!BL149*Calculateur!BN149*VLOOKUP('Données projet'!$B$11,Paramètres!$A$1:$I$89,3,0)*0.475*44/12</f>
        <v>4.9366135341641728</v>
      </c>
      <c r="BR149" s="21">
        <f>EXP(-LN(2)/2)*BR148+(1-EXP(-LN(2)/2))/(LN(2)/2)*BL149*BO149*VLOOKUP('Données projet'!$B$11,Paramètres!$A$1:$I$89,3,0)*0.475*44/12</f>
        <v>3.2329933443403072E-11</v>
      </c>
      <c r="BS149" s="22">
        <f t="shared" si="117"/>
        <v>45.417576434235357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-3.4106051316484809E-13</v>
      </c>
      <c r="BZ149" s="13">
        <f>BY149*VLOOKUP('Données projet'!$B$12,Paramètres!$A$1:$I$89,3,0)*VLOOKUP('Données projet'!$B$12,Paramètres!$A$1:$I$89,5,0)</f>
        <v>-1.9065282685915009E-13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490.96084572840579</v>
      </c>
      <c r="CE149" s="59">
        <f t="shared" si="148"/>
        <v>597.91658789908263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62.363397005367311</v>
      </c>
      <c r="CL149" s="21">
        <f>EXP(-LN(2)/25)*CL148+(1-EXP(-LN(2)/25))/(LN(2)/25)*Calculateur!CG149*Calculateur!CI149*VLOOKUP('Données projet'!$B$12,Paramètres!$A$1:$I$89,3,0)*0.475*44/12</f>
        <v>7.7791756766681939</v>
      </c>
      <c r="CM149" s="21">
        <f>EXP(-LN(2)/2)*CM148+(1-EXP(-LN(2)/2))/(LN(2)/2)*CG149*CJ149*VLOOKUP('Données projet'!$B$12,Paramètres!$A$1:$I$89,3,0)*0.475*44/12</f>
        <v>4.1749669436013319E-11</v>
      </c>
      <c r="CN149" s="22">
        <f t="shared" si="120"/>
        <v>70.142572682077258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-1.064108801074326E-13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482.28841373508675</v>
      </c>
      <c r="T150" s="59">
        <f t="shared" si="142"/>
        <v>746.97309214631684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86.384993945877497</v>
      </c>
      <c r="AA150" s="21">
        <f>EXP(-LN(2)/25)*AA149+(1-EXP(-LN(2)/25))/(LN(2)/25)*Calculateur!V150*Calculateur!X150*VLOOKUP('Données projet'!$B$9,Paramètres!$A$1:$I$89,3,0)*0.475*44/12</f>
        <v>10.826223073499564</v>
      </c>
      <c r="AB150" s="21">
        <f>EXP(-LN(2)/2)*AB149+(1-EXP(-LN(2)/2))/(LN(2)/2)*V150*Y150*VLOOKUP('Données projet'!$B$9,Paramètres!$A$1:$I$89,3,0)*0.475*44/12</f>
        <v>1.6911580275050832E-9</v>
      </c>
      <c r="AC150" s="22">
        <f t="shared" si="111"/>
        <v>97.211217021068222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-5.3205440053716299E-14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259.91478350500478</v>
      </c>
      <c r="AO150" s="59">
        <f t="shared" si="144"/>
        <v>192.27194887051007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93.786138257506906</v>
      </c>
      <c r="AV150" s="21">
        <f>EXP(-LN(2)/25)*AV149+(1-EXP(-LN(2)/25))/(LN(2)/25)*Calculateur!AQ150*Calculateur!AS150*VLOOKUP('Données projet'!$B$10,Paramètres!$A$1:$I$89,3,0)*0.475*44/12</f>
        <v>14.716250367217391</v>
      </c>
      <c r="AW150" s="21">
        <f>EXP(-LN(2)/2)*AW149+(1-EXP(-LN(2)/2))/(LN(2)/2)*AQ150*AT150*VLOOKUP('Données projet'!$B$10,Paramètres!$A$1:$I$89,3,0)*0.475*44/12</f>
        <v>4.0217080043026404E-6</v>
      </c>
      <c r="AX150" s="21">
        <f t="shared" si="114"/>
        <v>108.5023926464323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-1.3596945791505279E-13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284.60021367910457</v>
      </c>
      <c r="BJ150" s="59">
        <f t="shared" si="146"/>
        <v>301.41905904220812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39.687155908518434</v>
      </c>
      <c r="BQ150" s="21">
        <f>EXP(-LN(2)/25)*BQ149+(1-EXP(-LN(2)/25))/(LN(2)/25)*Calculateur!BL150*Calculateur!BN150*VLOOKUP('Données projet'!$B$11,Paramètres!$A$1:$I$89,3,0)*0.475*44/12</f>
        <v>4.8016215774672304</v>
      </c>
      <c r="BR150" s="21">
        <f>EXP(-LN(2)/2)*BR149+(1-EXP(-LN(2)/2))/(LN(2)/2)*BL150*BO150*VLOOKUP('Données projet'!$B$11,Paramètres!$A$1:$I$89,3,0)*0.475*44/12</f>
        <v>2.2860715173140061E-11</v>
      </c>
      <c r="BS150" s="22">
        <f t="shared" si="117"/>
        <v>44.488777486008523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-3.4106051316484809E-13</v>
      </c>
      <c r="BZ150" s="13">
        <f>BY150*VLOOKUP('Données projet'!$B$12,Paramètres!$A$1:$I$89,3,0)*VLOOKUP('Données projet'!$B$12,Paramètres!$A$1:$I$89,5,0)</f>
        <v>-1.9065282685915009E-13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490.96084572840579</v>
      </c>
      <c r="CE150" s="59">
        <f t="shared" si="148"/>
        <v>597.91658789908263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61.140488828008301</v>
      </c>
      <c r="CL150" s="21">
        <f>EXP(-LN(2)/25)*CL149+(1-EXP(-LN(2)/25))/(LN(2)/25)*Calculateur!CG150*Calculateur!CI150*VLOOKUP('Données projet'!$B$12,Paramètres!$A$1:$I$89,3,0)*0.475*44/12</f>
        <v>7.5664537087006325</v>
      </c>
      <c r="CM150" s="21">
        <f>EXP(-LN(2)/2)*CM149+(1-EXP(-LN(2)/2))/(LN(2)/2)*CG150*CJ150*VLOOKUP('Données projet'!$B$12,Paramètres!$A$1:$I$89,3,0)*0.475*44/12</f>
        <v>2.952147437050176E-11</v>
      </c>
      <c r="CN150" s="22">
        <f t="shared" si="120"/>
        <v>68.706942536738453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-1.064108801074326E-13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482.28841373508675</v>
      </c>
      <c r="T151" s="59">
        <f t="shared" si="142"/>
        <v>746.97309214631684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84.69103690424248</v>
      </c>
      <c r="AA151" s="21">
        <f>EXP(-LN(2)/25)*AA150+(1-EXP(-LN(2)/25))/(LN(2)/25)*Calculateur!V151*Calculateur!X151*VLOOKUP('Données projet'!$B$9,Paramètres!$A$1:$I$89,3,0)*0.475*44/12</f>
        <v>10.530179434228391</v>
      </c>
      <c r="AB151" s="21">
        <f>EXP(-LN(2)/2)*AB150+(1-EXP(-LN(2)/2))/(LN(2)/2)*V151*Y151*VLOOKUP('Données projet'!$B$9,Paramètres!$A$1:$I$89,3,0)*0.475*44/12</f>
        <v>1.1958293093069101E-9</v>
      </c>
      <c r="AC151" s="22">
        <f t="shared" si="111"/>
        <v>95.221216339666697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-5.3205440053716299E-14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259.91478350500478</v>
      </c>
      <c r="AO151" s="59">
        <f t="shared" si="144"/>
        <v>192.27194887051007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91.947049290173112</v>
      </c>
      <c r="AV151" s="21">
        <f>EXP(-LN(2)/25)*AV150+(1-EXP(-LN(2)/25))/(LN(2)/25)*Calculateur!AQ151*Calculateur!AS151*VLOOKUP('Données projet'!$B$10,Paramètres!$A$1:$I$89,3,0)*0.475*44/12</f>
        <v>14.313833727031859</v>
      </c>
      <c r="AW151" s="21">
        <f>EXP(-LN(2)/2)*AW150+(1-EXP(-LN(2)/2))/(LN(2)/2)*AQ151*AT151*VLOOKUP('Données projet'!$B$10,Paramètres!$A$1:$I$89,3,0)*0.475*44/12</f>
        <v>2.843777001794614E-6</v>
      </c>
      <c r="AX151" s="21">
        <f t="shared" si="114"/>
        <v>106.26088586098197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-1.3596945791505279E-13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284.60021367910457</v>
      </c>
      <c r="BJ151" s="59">
        <f t="shared" si="146"/>
        <v>301.41905904220812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38.908914987927268</v>
      </c>
      <c r="BQ151" s="21">
        <f>EXP(-LN(2)/25)*BQ150+(1-EXP(-LN(2)/25))/(LN(2)/25)*Calculateur!BL151*Calculateur!BN151*VLOOKUP('Données projet'!$B$11,Paramètres!$A$1:$I$89,3,0)*0.475*44/12</f>
        <v>4.6703209829250847</v>
      </c>
      <c r="BR151" s="21">
        <f>EXP(-LN(2)/2)*BR150+(1-EXP(-LN(2)/2))/(LN(2)/2)*BL151*BO151*VLOOKUP('Données projet'!$B$11,Paramètres!$A$1:$I$89,3,0)*0.475*44/12</f>
        <v>1.6164966721701536E-11</v>
      </c>
      <c r="BS151" s="22">
        <f t="shared" si="117"/>
        <v>43.579235970868517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-3.4106051316484809E-13</v>
      </c>
      <c r="BZ151" s="13">
        <f>BY151*VLOOKUP('Données projet'!$B$12,Paramètres!$A$1:$I$89,3,0)*VLOOKUP('Données projet'!$B$12,Paramètres!$A$1:$I$89,5,0)</f>
        <v>-1.9065282685915009E-13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490.96084572840579</v>
      </c>
      <c r="CE151" s="59">
        <f t="shared" si="148"/>
        <v>597.91658789908263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59.941561134106962</v>
      </c>
      <c r="CL151" s="21">
        <f>EXP(-LN(2)/25)*CL150+(1-EXP(-LN(2)/25))/(LN(2)/25)*Calculateur!CG151*Calculateur!CI151*VLOOKUP('Données projet'!$B$12,Paramètres!$A$1:$I$89,3,0)*0.475*44/12</f>
        <v>7.3595486341337066</v>
      </c>
      <c r="CM151" s="21">
        <f>EXP(-LN(2)/2)*CM150+(1-EXP(-LN(2)/2))/(LN(2)/2)*CG151*CJ151*VLOOKUP('Données projet'!$B$12,Paramètres!$A$1:$I$89,3,0)*0.475*44/12</f>
        <v>2.0874834718006659E-11</v>
      </c>
      <c r="CN151" s="22">
        <f t="shared" si="120"/>
        <v>67.30110976826154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-1.064108801074326E-13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482.28841373508675</v>
      </c>
      <c r="T152" s="59">
        <f t="shared" si="142"/>
        <v>746.97309214631684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83.030297326982151</v>
      </c>
      <c r="AA152" s="21">
        <f>EXP(-LN(2)/25)*AA151+(1-EXP(-LN(2)/25))/(LN(2)/25)*Calculateur!V152*Calculateur!X152*VLOOKUP('Données projet'!$B$9,Paramètres!$A$1:$I$89,3,0)*0.475*44/12</f>
        <v>10.242231123841346</v>
      </c>
      <c r="AB152" s="21">
        <f>EXP(-LN(2)/2)*AB151+(1-EXP(-LN(2)/2))/(LN(2)/2)*V152*Y152*VLOOKUP('Données projet'!$B$9,Paramètres!$A$1:$I$89,3,0)*0.475*44/12</f>
        <v>8.4557901375254158E-10</v>
      </c>
      <c r="AC152" s="22">
        <f t="shared" si="111"/>
        <v>93.272528451669075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-5.3205440053716299E-14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259.91478350500478</v>
      </c>
      <c r="AO152" s="59">
        <f t="shared" si="144"/>
        <v>192.27194887051007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90.144023735755226</v>
      </c>
      <c r="AV152" s="21">
        <f>EXP(-LN(2)/25)*AV151+(1-EXP(-LN(2)/25))/(LN(2)/25)*Calculateur!AQ152*Calculateur!AS152*VLOOKUP('Données projet'!$B$10,Paramètres!$A$1:$I$89,3,0)*0.475*44/12</f>
        <v>13.922421191034372</v>
      </c>
      <c r="AW152" s="21">
        <f>EXP(-LN(2)/2)*AW151+(1-EXP(-LN(2)/2))/(LN(2)/2)*AQ152*AT152*VLOOKUP('Données projet'!$B$10,Paramètres!$A$1:$I$89,3,0)*0.475*44/12</f>
        <v>2.0108540021513202E-6</v>
      </c>
      <c r="AX152" s="21">
        <f t="shared" si="114"/>
        <v>104.0664469376436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-1.3596945791505279E-13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284.60021367910457</v>
      </c>
      <c r="BJ152" s="59">
        <f t="shared" si="146"/>
        <v>301.41905904220812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38.145934897108809</v>
      </c>
      <c r="BQ152" s="21">
        <f>EXP(-LN(2)/25)*BQ151+(1-EXP(-LN(2)/25))/(LN(2)/25)*Calculateur!BL152*Calculateur!BN152*VLOOKUP('Données projet'!$B$11,Paramètres!$A$1:$I$89,3,0)*0.475*44/12</f>
        <v>4.5426108100454918</v>
      </c>
      <c r="BR152" s="21">
        <f>EXP(-LN(2)/2)*BR151+(1-EXP(-LN(2)/2))/(LN(2)/2)*BL152*BO152*VLOOKUP('Données projet'!$B$11,Paramètres!$A$1:$I$89,3,0)*0.475*44/12</f>
        <v>1.143035758657003E-11</v>
      </c>
      <c r="BS152" s="22">
        <f t="shared" si="117"/>
        <v>42.688545707165737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-3.4106051316484809E-13</v>
      </c>
      <c r="BZ152" s="13">
        <f>BY152*VLOOKUP('Données projet'!$B$12,Paramètres!$A$1:$I$89,3,0)*VLOOKUP('Données projet'!$B$12,Paramètres!$A$1:$I$89,5,0)</f>
        <v>-1.9065282685915009E-13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490.96084572840579</v>
      </c>
      <c r="CE152" s="59">
        <f t="shared" si="148"/>
        <v>597.91658789908263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58.766143681009346</v>
      </c>
      <c r="CL152" s="21">
        <f>EXP(-LN(2)/25)*CL151+(1-EXP(-LN(2)/25))/(LN(2)/25)*Calculateur!CG152*Calculateur!CI152*VLOOKUP('Données projet'!$B$12,Paramètres!$A$1:$I$89,3,0)*0.475*44/12</f>
        <v>7.158301389711478</v>
      </c>
      <c r="CM152" s="21">
        <f>EXP(-LN(2)/2)*CM151+(1-EXP(-LN(2)/2))/(LN(2)/2)*CG152*CJ152*VLOOKUP('Données projet'!$B$12,Paramètres!$A$1:$I$89,3,0)*0.475*44/12</f>
        <v>1.476073718525088E-11</v>
      </c>
      <c r="CN152" s="22">
        <f t="shared" si="120"/>
        <v>65.924445070735587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-1.064108801074326E-13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482.28841373508675</v>
      </c>
      <c r="T153" s="59">
        <f t="shared" si="142"/>
        <v>746.97309214631684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81.402123839880772</v>
      </c>
      <c r="AA153" s="21">
        <f>EXP(-LN(2)/25)*AA152+(1-EXP(-LN(2)/25))/(LN(2)/25)*Calculateur!V153*Calculateur!X153*VLOOKUP('Données projet'!$B$9,Paramètres!$A$1:$I$89,3,0)*0.475*44/12</f>
        <v>9.9621567751443791</v>
      </c>
      <c r="AB153" s="21">
        <f>EXP(-LN(2)/2)*AB152+(1-EXP(-LN(2)/2))/(LN(2)/2)*V153*Y153*VLOOKUP('Données projet'!$B$9,Paramètres!$A$1:$I$89,3,0)*0.475*44/12</f>
        <v>5.9791465465345507E-10</v>
      </c>
      <c r="AC153" s="22">
        <f t="shared" si="111"/>
        <v>91.364280615623073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-5.3205440053716299E-14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259.91478350500478</v>
      </c>
      <c r="AO153" s="59">
        <f t="shared" si="144"/>
        <v>192.27194887051007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88.376354412722478</v>
      </c>
      <c r="AV153" s="21">
        <f>EXP(-LN(2)/25)*AV152+(1-EXP(-LN(2)/25))/(LN(2)/25)*Calculateur!AQ153*Calculateur!AS153*VLOOKUP('Données projet'!$B$10,Paramètres!$A$1:$I$89,3,0)*0.475*44/12</f>
        <v>13.541711851417228</v>
      </c>
      <c r="AW153" s="21">
        <f>EXP(-LN(2)/2)*AW152+(1-EXP(-LN(2)/2))/(LN(2)/2)*AQ153*AT153*VLOOKUP('Données projet'!$B$10,Paramètres!$A$1:$I$89,3,0)*0.475*44/12</f>
        <v>1.421888500897307E-6</v>
      </c>
      <c r="AX153" s="21">
        <f t="shared" si="114"/>
        <v>101.91806768602821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-1.3596945791505279E-13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284.60021367910457</v>
      </c>
      <c r="BJ153" s="59">
        <f t="shared" si="146"/>
        <v>301.41905904220812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37.397916380499396</v>
      </c>
      <c r="BQ153" s="21">
        <f>EXP(-LN(2)/25)*BQ152+(1-EXP(-LN(2)/25))/(LN(2)/25)*Calculateur!BL153*Calculateur!BN153*VLOOKUP('Données projet'!$B$11,Paramètres!$A$1:$I$89,3,0)*0.475*44/12</f>
        <v>4.4183928785592776</v>
      </c>
      <c r="BR153" s="21">
        <f>EXP(-LN(2)/2)*BR152+(1-EXP(-LN(2)/2))/(LN(2)/2)*BL153*BO153*VLOOKUP('Données projet'!$B$11,Paramètres!$A$1:$I$89,3,0)*0.475*44/12</f>
        <v>8.0824833608507679E-12</v>
      </c>
      <c r="BS153" s="22">
        <f t="shared" si="117"/>
        <v>41.816309259066756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-3.4106051316484809E-13</v>
      </c>
      <c r="BZ153" s="13">
        <f>BY153*VLOOKUP('Données projet'!$B$12,Paramètres!$A$1:$I$89,3,0)*VLOOKUP('Données projet'!$B$12,Paramètres!$A$1:$I$89,5,0)</f>
        <v>-1.9065282685915009E-13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490.96084572840579</v>
      </c>
      <c r="CE153" s="59">
        <f t="shared" si="148"/>
        <v>597.91658789908263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57.613775447233117</v>
      </c>
      <c r="CL153" s="21">
        <f>EXP(-LN(2)/25)*CL152+(1-EXP(-LN(2)/25))/(LN(2)/25)*Calculateur!CG153*Calculateur!CI153*VLOOKUP('Données projet'!$B$12,Paramètres!$A$1:$I$89,3,0)*0.475*44/12</f>
        <v>6.9625572617711082</v>
      </c>
      <c r="CM153" s="21">
        <f>EXP(-LN(2)/2)*CM152+(1-EXP(-LN(2)/2))/(LN(2)/2)*CG153*CJ153*VLOOKUP('Données projet'!$B$12,Paramètres!$A$1:$I$89,3,0)*0.475*44/12</f>
        <v>1.043741735900333E-11</v>
      </c>
      <c r="CN153" s="22">
        <f t="shared" si="120"/>
        <v>64.57633270901465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-1.064108801074326E-13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482.28841373508675</v>
      </c>
      <c r="T154" s="59">
        <f t="shared" si="142"/>
        <v>746.97309214631684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79.805877841773679</v>
      </c>
      <c r="AA154" s="21">
        <f>EXP(-LN(2)/25)*AA153+(1-EXP(-LN(2)/25))/(LN(2)/25)*Calculateur!V154*Calculateur!X154*VLOOKUP('Données projet'!$B$9,Paramètres!$A$1:$I$89,3,0)*0.475*44/12</f>
        <v>9.6897410742410006</v>
      </c>
      <c r="AB154" s="21">
        <f>EXP(-LN(2)/2)*AB153+(1-EXP(-LN(2)/2))/(LN(2)/2)*V154*Y154*VLOOKUP('Données projet'!$B$9,Paramètres!$A$1:$I$89,3,0)*0.475*44/12</f>
        <v>4.2278950687627079E-10</v>
      </c>
      <c r="AC154" s="22">
        <f t="shared" ref="AC154:AC203" si="163">SUM(Z154:AB154)</f>
        <v>89.495618916437465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-5.3205440053716299E-14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259.91478350500478</v>
      </c>
      <c r="AO154" s="59">
        <f t="shared" si="144"/>
        <v>192.27194887051007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86.643348006942574</v>
      </c>
      <c r="AV154" s="21">
        <f>EXP(-LN(2)/25)*AV153+(1-EXP(-LN(2)/25))/(LN(2)/25)*Calculateur!AQ154*Calculateur!AS154*VLOOKUP('Données projet'!$B$10,Paramètres!$A$1:$I$89,3,0)*0.475*44/12</f>
        <v>13.171413028712548</v>
      </c>
      <c r="AW154" s="21">
        <f>EXP(-LN(2)/2)*AW153+(1-EXP(-LN(2)/2))/(LN(2)/2)*AQ154*AT154*VLOOKUP('Données projet'!$B$10,Paramètres!$A$1:$I$89,3,0)*0.475*44/12</f>
        <v>1.0054270010756601E-6</v>
      </c>
      <c r="AX154" s="21">
        <f t="shared" ref="AX154:AX203" si="166">SUM(AU154:AW154)</f>
        <v>99.814762041082119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-1.3596945791505279E-13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284.60021367910457</v>
      </c>
      <c r="BJ154" s="59">
        <f t="shared" si="146"/>
        <v>301.41905904220812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36.664566050754445</v>
      </c>
      <c r="BQ154" s="21">
        <f>EXP(-LN(2)/25)*BQ153+(1-EXP(-LN(2)/25))/(LN(2)/25)*Calculateur!BL154*Calculateur!BN154*VLOOKUP('Données projet'!$B$11,Paramètres!$A$1:$I$89,3,0)*0.475*44/12</f>
        <v>4.297571692941891</v>
      </c>
      <c r="BR154" s="21">
        <f>EXP(-LN(2)/2)*BR153+(1-EXP(-LN(2)/2))/(LN(2)/2)*BL154*BO154*VLOOKUP('Données projet'!$B$11,Paramètres!$A$1:$I$89,3,0)*0.475*44/12</f>
        <v>5.7151787932850152E-12</v>
      </c>
      <c r="BS154" s="22">
        <f t="shared" ref="BS154:BS203" si="169">SUM(BP154:BR154)</f>
        <v>40.962137743702051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-3.4106051316484809E-13</v>
      </c>
      <c r="BZ154" s="13">
        <f>BY154*VLOOKUP('Données projet'!$B$12,Paramètres!$A$1:$I$89,3,0)*VLOOKUP('Données projet'!$B$12,Paramètres!$A$1:$I$89,5,0)</f>
        <v>-1.9065282685915009E-13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490.96084572840579</v>
      </c>
      <c r="CE154" s="59">
        <f t="shared" si="148"/>
        <v>597.91658789908263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56.484004451646022</v>
      </c>
      <c r="CL154" s="21">
        <f>EXP(-LN(2)/25)*CL153+(1-EXP(-LN(2)/25))/(LN(2)/25)*Calculateur!CG154*Calculateur!CI154*VLOOKUP('Données projet'!$B$12,Paramètres!$A$1:$I$89,3,0)*0.475*44/12</f>
        <v>6.7721657673030045</v>
      </c>
      <c r="CM154" s="21">
        <f>EXP(-LN(2)/2)*CM153+(1-EXP(-LN(2)/2))/(LN(2)/2)*CG154*CJ154*VLOOKUP('Données projet'!$B$12,Paramètres!$A$1:$I$89,3,0)*0.475*44/12</f>
        <v>7.3803685926254401E-12</v>
      </c>
      <c r="CN154" s="22">
        <f t="shared" ref="CN154:CN203" si="172">SUM(CK154:CM154)</f>
        <v>63.256170218956406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-1.064108801074326E-13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482.28841373508675</v>
      </c>
      <c r="T155" s="59">
        <f t="shared" si="142"/>
        <v>746.97309214631684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78.240933254075543</v>
      </c>
      <c r="AA155" s="21">
        <f>EXP(-LN(2)/25)*AA154+(1-EXP(-LN(2)/25))/(LN(2)/25)*Calculateur!V155*Calculateur!X155*VLOOKUP('Données projet'!$B$9,Paramètres!$A$1:$I$89,3,0)*0.475*44/12</f>
        <v>9.4247745950045427</v>
      </c>
      <c r="AB155" s="21">
        <f>EXP(-LN(2)/2)*AB154+(1-EXP(-LN(2)/2))/(LN(2)/2)*V155*Y155*VLOOKUP('Données projet'!$B$9,Paramètres!$A$1:$I$89,3,0)*0.475*44/12</f>
        <v>2.9895732732672754E-10</v>
      </c>
      <c r="AC155" s="22">
        <f t="shared" si="163"/>
        <v>87.665707849379046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-5.3205440053716299E-14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259.91478350500478</v>
      </c>
      <c r="AO155" s="59">
        <f t="shared" si="144"/>
        <v>192.27194887051007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84.94432479975049</v>
      </c>
      <c r="AV155" s="21">
        <f>EXP(-LN(2)/25)*AV154+(1-EXP(-LN(2)/25))/(LN(2)/25)*Calculateur!AQ155*Calculateur!AS155*VLOOKUP('Données projet'!$B$10,Paramètres!$A$1:$I$89,3,0)*0.475*44/12</f>
        <v>12.811240046787896</v>
      </c>
      <c r="AW155" s="21">
        <f>EXP(-LN(2)/2)*AW154+(1-EXP(-LN(2)/2))/(LN(2)/2)*AQ155*AT155*VLOOKUP('Données projet'!$B$10,Paramètres!$A$1:$I$89,3,0)*0.475*44/12</f>
        <v>7.109442504486535E-7</v>
      </c>
      <c r="AX155" s="21">
        <f t="shared" si="166"/>
        <v>97.75556555748264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-1.3596945791505279E-13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284.60021367910457</v>
      </c>
      <c r="BJ155" s="59">
        <f t="shared" si="146"/>
        <v>301.41905904220812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35.945596273676259</v>
      </c>
      <c r="BQ155" s="21">
        <f>EXP(-LN(2)/25)*BQ154+(1-EXP(-LN(2)/25))/(LN(2)/25)*Calculateur!BL155*Calculateur!BN155*VLOOKUP('Données projet'!$B$11,Paramètres!$A$1:$I$89,3,0)*0.475*44/12</f>
        <v>4.1800543689989222</v>
      </c>
      <c r="BR155" s="21">
        <f>EXP(-LN(2)/2)*BR154+(1-EXP(-LN(2)/2))/(LN(2)/2)*BL155*BO155*VLOOKUP('Données projet'!$B$11,Paramètres!$A$1:$I$89,3,0)*0.475*44/12</f>
        <v>4.0412416804253839E-12</v>
      </c>
      <c r="BS155" s="22">
        <f t="shared" si="169"/>
        <v>40.125650642679226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-3.4106051316484809E-13</v>
      </c>
      <c r="BZ155" s="13">
        <f>BY155*VLOOKUP('Données projet'!$B$12,Paramètres!$A$1:$I$89,3,0)*VLOOKUP('Données projet'!$B$12,Paramètres!$A$1:$I$89,5,0)</f>
        <v>-1.9065282685915009E-13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490.96084572840579</v>
      </c>
      <c r="CE155" s="59">
        <f t="shared" si="148"/>
        <v>597.91658789908263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55.376387576190126</v>
      </c>
      <c r="CL155" s="21">
        <f>EXP(-LN(2)/25)*CL154+(1-EXP(-LN(2)/25))/(LN(2)/25)*Calculateur!CG155*Calculateur!CI155*VLOOKUP('Données projet'!$B$12,Paramètres!$A$1:$I$89,3,0)*0.475*44/12</f>
        <v>6.5869805382633837</v>
      </c>
      <c r="CM155" s="21">
        <f>EXP(-LN(2)/2)*CM154+(1-EXP(-LN(2)/2))/(LN(2)/2)*CG155*CJ155*VLOOKUP('Données projet'!$B$12,Paramètres!$A$1:$I$89,3,0)*0.475*44/12</f>
        <v>5.2187086795016648E-12</v>
      </c>
      <c r="CN155" s="22">
        <f t="shared" si="172"/>
        <v>61.963368114458724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-1.064108801074326E-13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482.28841373508675</v>
      </c>
      <c r="T156" s="59">
        <f t="shared" si="142"/>
        <v>746.97309214631684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76.706676275220218</v>
      </c>
      <c r="AA156" s="21">
        <f>EXP(-LN(2)/25)*AA155+(1-EXP(-LN(2)/25))/(LN(2)/25)*Calculateur!V156*Calculateur!X156*VLOOKUP('Données projet'!$B$9,Paramètres!$A$1:$I$89,3,0)*0.475*44/12</f>
        <v>9.1670536380767889</v>
      </c>
      <c r="AB156" s="21">
        <f>EXP(-LN(2)/2)*AB155+(1-EXP(-LN(2)/2))/(LN(2)/2)*V156*Y156*VLOOKUP('Données projet'!$B$9,Paramètres!$A$1:$I$89,3,0)*0.475*44/12</f>
        <v>2.113947534381354E-10</v>
      </c>
      <c r="AC156" s="22">
        <f t="shared" si="163"/>
        <v>85.873729913508413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-5.3205440053716299E-14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259.91478350500478</v>
      </c>
      <c r="AO156" s="59">
        <f t="shared" si="144"/>
        <v>192.27194887051007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83.278618401349604</v>
      </c>
      <c r="AV156" s="21">
        <f>EXP(-LN(2)/25)*AV155+(1-EXP(-LN(2)/25))/(LN(2)/25)*Calculateur!AQ156*Calculateur!AS156*VLOOKUP('Données projet'!$B$10,Paramètres!$A$1:$I$89,3,0)*0.475*44/12</f>
        <v>12.460916013994648</v>
      </c>
      <c r="AW156" s="21">
        <f>EXP(-LN(2)/2)*AW155+(1-EXP(-LN(2)/2))/(LN(2)/2)*AQ156*AT156*VLOOKUP('Données projet'!$B$10,Paramètres!$A$1:$I$89,3,0)*0.475*44/12</f>
        <v>5.0271350053783005E-7</v>
      </c>
      <c r="AX156" s="21">
        <f t="shared" si="166"/>
        <v>95.739534918057757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-1.3596945791505279E-13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284.60021367910457</v>
      </c>
      <c r="BJ156" s="59">
        <f t="shared" si="146"/>
        <v>301.41905904220812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35.240725055398315</v>
      </c>
      <c r="BQ156" s="21">
        <f>EXP(-LN(2)/25)*BQ155+(1-EXP(-LN(2)/25))/(LN(2)/25)*Calculateur!BL156*Calculateur!BN156*VLOOKUP('Données projet'!$B$11,Paramètres!$A$1:$I$89,3,0)*0.475*44/12</f>
        <v>4.065750562459141</v>
      </c>
      <c r="BR156" s="21">
        <f>EXP(-LN(2)/2)*BR155+(1-EXP(-LN(2)/2))/(LN(2)/2)*BL156*BO156*VLOOKUP('Données projet'!$B$11,Paramètres!$A$1:$I$89,3,0)*0.475*44/12</f>
        <v>2.8575893966425076E-12</v>
      </c>
      <c r="BS156" s="22">
        <f t="shared" si="169"/>
        <v>39.306475617860315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-3.4106051316484809E-13</v>
      </c>
      <c r="BZ156" s="13">
        <f>BY156*VLOOKUP('Données projet'!$B$12,Paramètres!$A$1:$I$89,3,0)*VLOOKUP('Données projet'!$B$12,Paramètres!$A$1:$I$89,5,0)</f>
        <v>-1.9065282685915009E-13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490.96084572840579</v>
      </c>
      <c r="CE156" s="59">
        <f t="shared" si="148"/>
        <v>597.91658789908263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54.290490392082333</v>
      </c>
      <c r="CL156" s="21">
        <f>EXP(-LN(2)/25)*CL155+(1-EXP(-LN(2)/25))/(LN(2)/25)*Calculateur!CG156*Calculateur!CI156*VLOOKUP('Données projet'!$B$12,Paramètres!$A$1:$I$89,3,0)*0.475*44/12</f>
        <v>6.40685920905032</v>
      </c>
      <c r="CM156" s="21">
        <f>EXP(-LN(2)/2)*CM155+(1-EXP(-LN(2)/2))/(LN(2)/2)*CG156*CJ156*VLOOKUP('Données projet'!$B$12,Paramètres!$A$1:$I$89,3,0)*0.475*44/12</f>
        <v>3.69018429631272E-12</v>
      </c>
      <c r="CN156" s="22">
        <f t="shared" si="172"/>
        <v>60.697349601136338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-1.064108801074326E-13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482.28841373508675</v>
      </c>
      <c r="T157" s="59">
        <f t="shared" si="142"/>
        <v>746.97309214631684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75.2025051399159</v>
      </c>
      <c r="AA157" s="21">
        <f>EXP(-LN(2)/25)*AA156+(1-EXP(-LN(2)/25))/(LN(2)/25)*Calculateur!V157*Calculateur!X157*VLOOKUP('Données projet'!$B$9,Paramètres!$A$1:$I$89,3,0)*0.475*44/12</f>
        <v>8.9163800742691794</v>
      </c>
      <c r="AB157" s="21">
        <f>EXP(-LN(2)/2)*AB156+(1-EXP(-LN(2)/2))/(LN(2)/2)*V157*Y157*VLOOKUP('Données projet'!$B$9,Paramètres!$A$1:$I$89,3,0)*0.475*44/12</f>
        <v>1.4947866366336377E-10</v>
      </c>
      <c r="AC157" s="22">
        <f t="shared" si="163"/>
        <v>84.118885214334568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-5.3205440053716299E-14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259.91478350500478</v>
      </c>
      <c r="AO157" s="59">
        <f t="shared" si="144"/>
        <v>192.27194887051007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81.645575489440773</v>
      </c>
      <c r="AV157" s="21">
        <f>EXP(-LN(2)/25)*AV156+(1-EXP(-LN(2)/25))/(LN(2)/25)*Calculateur!AQ157*Calculateur!AS157*VLOOKUP('Données projet'!$B$10,Paramètres!$A$1:$I$89,3,0)*0.475*44/12</f>
        <v>12.12017161030087</v>
      </c>
      <c r="AW157" s="21">
        <f>EXP(-LN(2)/2)*AW156+(1-EXP(-LN(2)/2))/(LN(2)/2)*AQ157*AT157*VLOOKUP('Données projet'!$B$10,Paramètres!$A$1:$I$89,3,0)*0.475*44/12</f>
        <v>3.5547212522432675E-7</v>
      </c>
      <c r="AX157" s="21">
        <f t="shared" si="166"/>
        <v>93.76574745521377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-1.3596945791505279E-13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284.60021367910457</v>
      </c>
      <c r="BJ157" s="59">
        <f t="shared" si="146"/>
        <v>301.41905904220812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34.549675931781813</v>
      </c>
      <c r="BQ157" s="21">
        <f>EXP(-LN(2)/25)*BQ156+(1-EXP(-LN(2)/25))/(LN(2)/25)*Calculateur!BL157*Calculateur!BN157*VLOOKUP('Données projet'!$B$11,Paramètres!$A$1:$I$89,3,0)*0.475*44/12</f>
        <v>3.954572399520166</v>
      </c>
      <c r="BR157" s="21">
        <f>EXP(-LN(2)/2)*BR156+(1-EXP(-LN(2)/2))/(LN(2)/2)*BL157*BO157*VLOOKUP('Données projet'!$B$11,Paramètres!$A$1:$I$89,3,0)*0.475*44/12</f>
        <v>2.020620840212692E-12</v>
      </c>
      <c r="BS157" s="22">
        <f t="shared" si="169"/>
        <v>38.504248331303998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-3.4106051316484809E-13</v>
      </c>
      <c r="BZ157" s="13">
        <f>BY157*VLOOKUP('Données projet'!$B$12,Paramètres!$A$1:$I$89,3,0)*VLOOKUP('Données projet'!$B$12,Paramètres!$A$1:$I$89,5,0)</f>
        <v>-1.9065282685915009E-13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490.96084572840579</v>
      </c>
      <c r="CE157" s="59">
        <f t="shared" si="148"/>
        <v>597.91658789908263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53.22588698942301</v>
      </c>
      <c r="CL157" s="21">
        <f>EXP(-LN(2)/25)*CL156+(1-EXP(-LN(2)/25))/(LN(2)/25)*Calculateur!CG157*Calculateur!CI157*VLOOKUP('Données projet'!$B$12,Paramètres!$A$1:$I$89,3,0)*0.475*44/12</f>
        <v>6.2316633070567562</v>
      </c>
      <c r="CM157" s="21">
        <f>EXP(-LN(2)/2)*CM156+(1-EXP(-LN(2)/2))/(LN(2)/2)*CG157*CJ157*VLOOKUP('Données projet'!$B$12,Paramètres!$A$1:$I$89,3,0)*0.475*44/12</f>
        <v>2.6093543397508324E-12</v>
      </c>
      <c r="CN157" s="22">
        <f t="shared" si="172"/>
        <v>59.457550296482374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-1.064108801074326E-13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482.28841373508675</v>
      </c>
      <c r="T158" s="59">
        <f t="shared" si="142"/>
        <v>746.97309214631684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73.727829883121103</v>
      </c>
      <c r="AA158" s="21">
        <f>EXP(-LN(2)/25)*AA157+(1-EXP(-LN(2)/25))/(LN(2)/25)*Calculateur!V158*Calculateur!X158*VLOOKUP('Données projet'!$B$9,Paramètres!$A$1:$I$89,3,0)*0.475*44/12</f>
        <v>8.6725611922462384</v>
      </c>
      <c r="AB158" s="21">
        <f>EXP(-LN(2)/2)*AB157+(1-EXP(-LN(2)/2))/(LN(2)/2)*V158*Y158*VLOOKUP('Données projet'!$B$9,Paramètres!$A$1:$I$89,3,0)*0.475*44/12</f>
        <v>1.056973767190677E-10</v>
      </c>
      <c r="AC158" s="22">
        <f t="shared" si="163"/>
        <v>82.400391075473038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-5.3205440053716299E-14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259.91478350500478</v>
      </c>
      <c r="AO158" s="59">
        <f t="shared" si="144"/>
        <v>192.27194887051007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80.044555552976661</v>
      </c>
      <c r="AV158" s="21">
        <f>EXP(-LN(2)/25)*AV157+(1-EXP(-LN(2)/25))/(LN(2)/25)*Calculateur!AQ158*Calculateur!AS158*VLOOKUP('Données projet'!$B$10,Paramètres!$A$1:$I$89,3,0)*0.475*44/12</f>
        <v>11.788744880245069</v>
      </c>
      <c r="AW158" s="21">
        <f>EXP(-LN(2)/2)*AW157+(1-EXP(-LN(2)/2))/(LN(2)/2)*AQ158*AT158*VLOOKUP('Données projet'!$B$10,Paramètres!$A$1:$I$89,3,0)*0.475*44/12</f>
        <v>2.5135675026891503E-7</v>
      </c>
      <c r="AX158" s="21">
        <f t="shared" si="166"/>
        <v>91.833300684578475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-1.3596945791505279E-13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284.60021367910457</v>
      </c>
      <c r="BJ158" s="59">
        <f t="shared" si="146"/>
        <v>301.41905904220812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33.872177859981079</v>
      </c>
      <c r="BQ158" s="21">
        <f>EXP(-LN(2)/25)*BQ157+(1-EXP(-LN(2)/25))/(LN(2)/25)*Calculateur!BL158*Calculateur!BN158*VLOOKUP('Données projet'!$B$11,Paramètres!$A$1:$I$89,3,0)*0.475*44/12</f>
        <v>3.8464344092933631</v>
      </c>
      <c r="BR158" s="21">
        <f>EXP(-LN(2)/2)*BR157+(1-EXP(-LN(2)/2))/(LN(2)/2)*BL158*BO158*VLOOKUP('Données projet'!$B$11,Paramètres!$A$1:$I$89,3,0)*0.475*44/12</f>
        <v>1.4287946983212538E-12</v>
      </c>
      <c r="BS158" s="22">
        <f t="shared" si="169"/>
        <v>37.718612269275873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-3.4106051316484809E-13</v>
      </c>
      <c r="BZ158" s="13">
        <f>BY158*VLOOKUP('Données projet'!$B$12,Paramètres!$A$1:$I$89,3,0)*VLOOKUP('Données projet'!$B$12,Paramètres!$A$1:$I$89,5,0)</f>
        <v>-1.9065282685915009E-13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490.96084572840579</v>
      </c>
      <c r="CE158" s="59">
        <f t="shared" si="148"/>
        <v>597.91658789908263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52.182159810145876</v>
      </c>
      <c r="CL158" s="21">
        <f>EXP(-LN(2)/25)*CL157+(1-EXP(-LN(2)/25))/(LN(2)/25)*Calculateur!CG158*Calculateur!CI158*VLOOKUP('Données projet'!$B$12,Paramètres!$A$1:$I$89,3,0)*0.475*44/12</f>
        <v>6.0612581462163586</v>
      </c>
      <c r="CM158" s="21">
        <f>EXP(-LN(2)/2)*CM157+(1-EXP(-LN(2)/2))/(LN(2)/2)*CG158*CJ158*VLOOKUP('Données projet'!$B$12,Paramètres!$A$1:$I$89,3,0)*0.475*44/12</f>
        <v>1.84509214815636E-12</v>
      </c>
      <c r="CN158" s="22">
        <f t="shared" si="172"/>
        <v>58.243417956364084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-1.064108801074326E-13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482.28841373508675</v>
      </c>
      <c r="T159" s="59">
        <f t="shared" si="142"/>
        <v>746.97309214631684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72.282072108648961</v>
      </c>
      <c r="AA159" s="21">
        <f>EXP(-LN(2)/25)*AA158+(1-EXP(-LN(2)/25))/(LN(2)/25)*Calculateur!V159*Calculateur!X159*VLOOKUP('Données projet'!$B$9,Paramètres!$A$1:$I$89,3,0)*0.475*44/12</f>
        <v>8.4354095503740929</v>
      </c>
      <c r="AB159" s="21">
        <f>EXP(-LN(2)/2)*AB158+(1-EXP(-LN(2)/2))/(LN(2)/2)*V159*Y159*VLOOKUP('Données projet'!$B$9,Paramètres!$A$1:$I$89,3,0)*0.475*44/12</f>
        <v>7.4739331831681884E-11</v>
      </c>
      <c r="AC159" s="22">
        <f t="shared" si="163"/>
        <v>80.717481659097785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-5.3205440053716299E-14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259.91478350500478</v>
      </c>
      <c r="AO159" s="59">
        <f t="shared" si="144"/>
        <v>192.27194887051007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78.474930640940869</v>
      </c>
      <c r="AV159" s="21">
        <f>EXP(-LN(2)/25)*AV158+(1-EXP(-LN(2)/25))/(LN(2)/25)*Calculateur!AQ159*Calculateur!AS159*VLOOKUP('Données projet'!$B$10,Paramètres!$A$1:$I$89,3,0)*0.475*44/12</f>
        <v>11.466381031551618</v>
      </c>
      <c r="AW159" s="21">
        <f>EXP(-LN(2)/2)*AW158+(1-EXP(-LN(2)/2))/(LN(2)/2)*AQ159*AT159*VLOOKUP('Données projet'!$B$10,Paramètres!$A$1:$I$89,3,0)*0.475*44/12</f>
        <v>1.7773606261216337E-7</v>
      </c>
      <c r="AX159" s="21">
        <f t="shared" si="166"/>
        <v>89.941311850228558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-1.3596945791505279E-13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284.60021367910457</v>
      </c>
      <c r="BJ159" s="59">
        <f t="shared" si="146"/>
        <v>301.41905904220812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33.207965112135341</v>
      </c>
      <c r="BQ159" s="21">
        <f>EXP(-LN(2)/25)*BQ158+(1-EXP(-LN(2)/25))/(LN(2)/25)*Calculateur!BL159*Calculateur!BN159*VLOOKUP('Données projet'!$B$11,Paramètres!$A$1:$I$89,3,0)*0.475*44/12</f>
        <v>3.7412534580960415</v>
      </c>
      <c r="BR159" s="21">
        <f>EXP(-LN(2)/2)*BR158+(1-EXP(-LN(2)/2))/(LN(2)/2)*BL159*BO159*VLOOKUP('Données projet'!$B$11,Paramètres!$A$1:$I$89,3,0)*0.475*44/12</f>
        <v>1.010310420106346E-12</v>
      </c>
      <c r="BS159" s="22">
        <f t="shared" si="169"/>
        <v>36.949218570232389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-3.4106051316484809E-13</v>
      </c>
      <c r="BZ159" s="13">
        <f>BY159*VLOOKUP('Données projet'!$B$12,Paramètres!$A$1:$I$89,3,0)*VLOOKUP('Données projet'!$B$12,Paramètres!$A$1:$I$89,5,0)</f>
        <v>-1.9065282685915009E-13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490.96084572840579</v>
      </c>
      <c r="CE159" s="59">
        <f t="shared" si="148"/>
        <v>597.91658789908263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51.158899484243648</v>
      </c>
      <c r="CL159" s="21">
        <f>EXP(-LN(2)/25)*CL158+(1-EXP(-LN(2)/25))/(LN(2)/25)*Calculateur!CG159*Calculateur!CI159*VLOOKUP('Données projet'!$B$12,Paramètres!$A$1:$I$89,3,0)*0.475*44/12</f>
        <v>5.8955127234603593</v>
      </c>
      <c r="CM159" s="21">
        <f>EXP(-LN(2)/2)*CM158+(1-EXP(-LN(2)/2))/(LN(2)/2)*CG159*CJ159*VLOOKUP('Données projet'!$B$12,Paramètres!$A$1:$I$89,3,0)*0.475*44/12</f>
        <v>1.3046771698754162E-12</v>
      </c>
      <c r="CN159" s="22">
        <f t="shared" si="172"/>
        <v>57.054412207705312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-1.064108801074326E-13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482.28841373508675</v>
      </c>
      <c r="T160" s="59">
        <f t="shared" si="142"/>
        <v>746.97309214631684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70.864664762309047</v>
      </c>
      <c r="AA160" s="21">
        <f>EXP(-LN(2)/25)*AA159+(1-EXP(-LN(2)/25))/(LN(2)/25)*Calculateur!V160*Calculateur!X160*VLOOKUP('Données projet'!$B$9,Paramètres!$A$1:$I$89,3,0)*0.475*44/12</f>
        <v>8.2047428326202052</v>
      </c>
      <c r="AB160" s="21">
        <f>EXP(-LN(2)/2)*AB159+(1-EXP(-LN(2)/2))/(LN(2)/2)*V160*Y160*VLOOKUP('Données projet'!$B$9,Paramètres!$A$1:$I$89,3,0)*0.475*44/12</f>
        <v>5.2848688359533849E-11</v>
      </c>
      <c r="AC160" s="22">
        <f t="shared" si="163"/>
        <v>79.06940759498211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-5.3205440053716299E-14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259.91478350500478</v>
      </c>
      <c r="AO160" s="59">
        <f t="shared" si="144"/>
        <v>192.27194887051007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76.936085116053434</v>
      </c>
      <c r="AV160" s="21">
        <f>EXP(-LN(2)/25)*AV159+(1-EXP(-LN(2)/25))/(LN(2)/25)*Calculateur!AQ160*Calculateur!AS160*VLOOKUP('Données projet'!$B$10,Paramètres!$A$1:$I$89,3,0)*0.475*44/12</f>
        <v>11.152832239253067</v>
      </c>
      <c r="AW160" s="21">
        <f>EXP(-LN(2)/2)*AW159+(1-EXP(-LN(2)/2))/(LN(2)/2)*AQ160*AT160*VLOOKUP('Données projet'!$B$10,Paramètres!$A$1:$I$89,3,0)*0.475*44/12</f>
        <v>1.2567837513445751E-7</v>
      </c>
      <c r="AX160" s="21">
        <f t="shared" si="166"/>
        <v>88.088917480984875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-1.3596945791505279E-13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284.60021367910457</v>
      </c>
      <c r="BJ160" s="59">
        <f t="shared" si="146"/>
        <v>301.41905904220812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32.556777171145086</v>
      </c>
      <c r="BQ160" s="21">
        <f>EXP(-LN(2)/25)*BQ159+(1-EXP(-LN(2)/25))/(LN(2)/25)*Calculateur!BL160*Calculateur!BN160*VLOOKUP('Données projet'!$B$11,Paramètres!$A$1:$I$89,3,0)*0.475*44/12</f>
        <v>3.6389486855404365</v>
      </c>
      <c r="BR160" s="21">
        <f>EXP(-LN(2)/2)*BR159+(1-EXP(-LN(2)/2))/(LN(2)/2)*BL160*BO160*VLOOKUP('Données projet'!$B$11,Paramètres!$A$1:$I$89,3,0)*0.475*44/12</f>
        <v>7.1439734916062691E-13</v>
      </c>
      <c r="BS160" s="22">
        <f t="shared" si="169"/>
        <v>36.195725856686238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-3.4106051316484809E-13</v>
      </c>
      <c r="BZ160" s="13">
        <f>BY160*VLOOKUP('Données projet'!$B$12,Paramètres!$A$1:$I$89,3,0)*VLOOKUP('Données projet'!$B$12,Paramètres!$A$1:$I$89,5,0)</f>
        <v>-1.9065282685915009E-13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490.96084572840579</v>
      </c>
      <c r="CE160" s="59">
        <f t="shared" si="148"/>
        <v>597.91658789908263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50.155704669205193</v>
      </c>
      <c r="CL160" s="21">
        <f>EXP(-LN(2)/25)*CL159+(1-EXP(-LN(2)/25))/(LN(2)/25)*Calculateur!CG160*Calculateur!CI160*VLOOKUP('Données projet'!$B$12,Paramètres!$A$1:$I$89,3,0)*0.475*44/12</f>
        <v>5.7342996180057959</v>
      </c>
      <c r="CM160" s="21">
        <f>EXP(-LN(2)/2)*CM159+(1-EXP(-LN(2)/2))/(LN(2)/2)*CG160*CJ160*VLOOKUP('Données projet'!$B$12,Paramètres!$A$1:$I$89,3,0)*0.475*44/12</f>
        <v>9.2254607407818001E-13</v>
      </c>
      <c r="CN160" s="22">
        <f t="shared" si="172"/>
        <v>55.890004287211909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-1.064108801074326E-13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482.28841373508675</v>
      </c>
      <c r="T161" s="59">
        <f t="shared" si="142"/>
        <v>746.97309214631684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69.475051909497736</v>
      </c>
      <c r="AA161" s="21">
        <f>EXP(-LN(2)/25)*AA160+(1-EXP(-LN(2)/25))/(LN(2)/25)*Calculateur!V161*Calculateur!X161*VLOOKUP('Données projet'!$B$9,Paramètres!$A$1:$I$89,3,0)*0.475*44/12</f>
        <v>7.9803837083935321</v>
      </c>
      <c r="AB161" s="21">
        <f>EXP(-LN(2)/2)*AB160+(1-EXP(-LN(2)/2))/(LN(2)/2)*V161*Y161*VLOOKUP('Données projet'!$B$9,Paramètres!$A$1:$I$89,3,0)*0.475*44/12</f>
        <v>3.7369665915840942E-11</v>
      </c>
      <c r="AC161" s="22">
        <f t="shared" si="163"/>
        <v>77.455435617928643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-5.3205440053716299E-14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259.91478350500478</v>
      </c>
      <c r="AO161" s="59">
        <f t="shared" si="144"/>
        <v>192.27194887051007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75.427415413305951</v>
      </c>
      <c r="AV161" s="21">
        <f>EXP(-LN(2)/25)*AV160+(1-EXP(-LN(2)/25))/(LN(2)/25)*Calculateur!AQ161*Calculateur!AS161*VLOOKUP('Données projet'!$B$10,Paramètres!$A$1:$I$89,3,0)*0.475*44/12</f>
        <v>10.847857455168734</v>
      </c>
      <c r="AW161" s="21">
        <f>EXP(-LN(2)/2)*AW160+(1-EXP(-LN(2)/2))/(LN(2)/2)*AQ161*AT161*VLOOKUP('Données projet'!$B$10,Paramètres!$A$1:$I$89,3,0)*0.475*44/12</f>
        <v>8.8868031306081687E-8</v>
      </c>
      <c r="AX161" s="21">
        <f t="shared" si="166"/>
        <v>86.275272957342722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-1.3596945791505279E-13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284.60021367910457</v>
      </c>
      <c r="BJ161" s="59">
        <f t="shared" si="146"/>
        <v>301.41905904220812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31.918358628492221</v>
      </c>
      <c r="BQ161" s="21">
        <f>EXP(-LN(2)/25)*BQ160+(1-EXP(-LN(2)/25))/(LN(2)/25)*Calculateur!BL161*Calculateur!BN161*VLOOKUP('Données projet'!$B$11,Paramètres!$A$1:$I$89,3,0)*0.475*44/12</f>
        <v>3.5394414423703386</v>
      </c>
      <c r="BR161" s="21">
        <f>EXP(-LN(2)/2)*BR160+(1-EXP(-LN(2)/2))/(LN(2)/2)*BL161*BO161*VLOOKUP('Données projet'!$B$11,Paramètres!$A$1:$I$89,3,0)*0.475*44/12</f>
        <v>5.0515521005317299E-13</v>
      </c>
      <c r="BS161" s="22">
        <f t="shared" si="169"/>
        <v>35.457800070863065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-3.4106051316484809E-13</v>
      </c>
      <c r="BZ161" s="13">
        <f>BY161*VLOOKUP('Données projet'!$B$12,Paramètres!$A$1:$I$89,3,0)*VLOOKUP('Données projet'!$B$12,Paramètres!$A$1:$I$89,5,0)</f>
        <v>-1.9065282685915009E-13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490.96084572840579</v>
      </c>
      <c r="CE161" s="59">
        <f t="shared" si="148"/>
        <v>597.91658789908263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49.172181892601223</v>
      </c>
      <c r="CL161" s="21">
        <f>EXP(-LN(2)/25)*CL160+(1-EXP(-LN(2)/25))/(LN(2)/25)*Calculateur!CG161*Calculateur!CI161*VLOOKUP('Données projet'!$B$12,Paramètres!$A$1:$I$89,3,0)*0.475*44/12</f>
        <v>5.5774948933977164</v>
      </c>
      <c r="CM161" s="21">
        <f>EXP(-LN(2)/2)*CM160+(1-EXP(-LN(2)/2))/(LN(2)/2)*CG161*CJ161*VLOOKUP('Données projet'!$B$12,Paramètres!$A$1:$I$89,3,0)*0.475*44/12</f>
        <v>6.5233858493770811E-13</v>
      </c>
      <c r="CN161" s="22">
        <f t="shared" si="172"/>
        <v>54.749676785999597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-1.064108801074326E-13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482.28841373508675</v>
      </c>
      <c r="T162" s="59">
        <f t="shared" si="142"/>
        <v>746.97309214631684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68.112688517149905</v>
      </c>
      <c r="AA162" s="21">
        <f>EXP(-LN(2)/25)*AA161+(1-EXP(-LN(2)/25))/(LN(2)/25)*Calculateur!V162*Calculateur!X162*VLOOKUP('Données projet'!$B$9,Paramètres!$A$1:$I$89,3,0)*0.475*44/12</f>
        <v>7.7621596962173713</v>
      </c>
      <c r="AB162" s="21">
        <f>EXP(-LN(2)/2)*AB161+(1-EXP(-LN(2)/2))/(LN(2)/2)*V162*Y162*VLOOKUP('Données projet'!$B$9,Paramètres!$A$1:$I$89,3,0)*0.475*44/12</f>
        <v>2.6424344179766924E-11</v>
      </c>
      <c r="AC162" s="22">
        <f t="shared" si="163"/>
        <v>75.87484821339369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-5.3205440053716299E-14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259.91478350500478</v>
      </c>
      <c r="AO162" s="59">
        <f t="shared" si="144"/>
        <v>192.27194887051007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73.948329803231687</v>
      </c>
      <c r="AV162" s="21">
        <f>EXP(-LN(2)/25)*AV161+(1-EXP(-LN(2)/25))/(LN(2)/25)*Calculateur!AQ162*Calculateur!AS162*VLOOKUP('Données projet'!$B$10,Paramètres!$A$1:$I$89,3,0)*0.475*44/12</f>
        <v>10.551222222593115</v>
      </c>
      <c r="AW162" s="21">
        <f>EXP(-LN(2)/2)*AW161+(1-EXP(-LN(2)/2))/(LN(2)/2)*AQ162*AT162*VLOOKUP('Données projet'!$B$10,Paramètres!$A$1:$I$89,3,0)*0.475*44/12</f>
        <v>6.2839187567228756E-8</v>
      </c>
      <c r="AX162" s="21">
        <f t="shared" si="166"/>
        <v>84.499552088663989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-1.3596945791505279E-13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284.60021367910457</v>
      </c>
      <c r="BJ162" s="59">
        <f t="shared" si="146"/>
        <v>301.41905904220812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31.292459084063921</v>
      </c>
      <c r="BQ162" s="21">
        <f>EXP(-LN(2)/25)*BQ161+(1-EXP(-LN(2)/25))/(LN(2)/25)*Calculateur!BL162*Calculateur!BN162*VLOOKUP('Données projet'!$B$11,Paramètres!$A$1:$I$89,3,0)*0.475*44/12</f>
        <v>3.4426552299975857</v>
      </c>
      <c r="BR162" s="21">
        <f>EXP(-LN(2)/2)*BR161+(1-EXP(-LN(2)/2))/(LN(2)/2)*BL162*BO162*VLOOKUP('Données projet'!$B$11,Paramètres!$A$1:$I$89,3,0)*0.475*44/12</f>
        <v>3.5719867458031345E-13</v>
      </c>
      <c r="BS162" s="22">
        <f t="shared" si="169"/>
        <v>34.73511431406186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-3.4106051316484809E-13</v>
      </c>
      <c r="BZ162" s="13">
        <f>BY162*VLOOKUP('Données projet'!$B$12,Paramètres!$A$1:$I$89,3,0)*VLOOKUP('Données projet'!$B$12,Paramètres!$A$1:$I$89,5,0)</f>
        <v>-1.9065282685915009E-13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490.96084572840579</v>
      </c>
      <c r="CE162" s="59">
        <f t="shared" si="148"/>
        <v>597.91658789908263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48.207945397756795</v>
      </c>
      <c r="CL162" s="21">
        <f>EXP(-LN(2)/25)*CL161+(1-EXP(-LN(2)/25))/(LN(2)/25)*Calculateur!CG162*Calculateur!CI162*VLOOKUP('Données projet'!$B$12,Paramètres!$A$1:$I$89,3,0)*0.475*44/12</f>
        <v>5.4249780022300467</v>
      </c>
      <c r="CM162" s="21">
        <f>EXP(-LN(2)/2)*CM161+(1-EXP(-LN(2)/2))/(LN(2)/2)*CG162*CJ162*VLOOKUP('Données projet'!$B$12,Paramètres!$A$1:$I$89,3,0)*0.475*44/12</f>
        <v>4.6127303703909E-13</v>
      </c>
      <c r="CN162" s="22">
        <f t="shared" si="172"/>
        <v>53.632923399987305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-1.064108801074326E-13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482.28841373508675</v>
      </c>
      <c r="T163" s="59">
        <f t="shared" si="142"/>
        <v>746.97309214631684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66.777040239966396</v>
      </c>
      <c r="AA163" s="21">
        <f>EXP(-LN(2)/25)*AA162+(1-EXP(-LN(2)/25))/(LN(2)/25)*Calculateur!V163*Calculateur!X163*VLOOKUP('Données projet'!$B$9,Paramètres!$A$1:$I$89,3,0)*0.475*44/12</f>
        <v>7.5499030311300697</v>
      </c>
      <c r="AB163" s="21">
        <f>EXP(-LN(2)/2)*AB162+(1-EXP(-LN(2)/2))/(LN(2)/2)*V163*Y163*VLOOKUP('Données projet'!$B$9,Paramètres!$A$1:$I$89,3,0)*0.475*44/12</f>
        <v>1.8684832957920471E-11</v>
      </c>
      <c r="AC163" s="22">
        <f t="shared" si="163"/>
        <v>74.326943271115155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-5.3205440053716299E-14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259.91478350500478</v>
      </c>
      <c r="AO163" s="59">
        <f t="shared" si="144"/>
        <v>192.27194887051007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72.498248159817834</v>
      </c>
      <c r="AV163" s="21">
        <f>EXP(-LN(2)/25)*AV162+(1-EXP(-LN(2)/25))/(LN(2)/25)*Calculateur!AQ163*Calculateur!AS163*VLOOKUP('Données projet'!$B$10,Paramètres!$A$1:$I$89,3,0)*0.475*44/12</f>
        <v>10.262698496051645</v>
      </c>
      <c r="AW163" s="21">
        <f>EXP(-LN(2)/2)*AW162+(1-EXP(-LN(2)/2))/(LN(2)/2)*AQ163*AT163*VLOOKUP('Données projet'!$B$10,Paramètres!$A$1:$I$89,3,0)*0.475*44/12</f>
        <v>4.4434015653040844E-8</v>
      </c>
      <c r="AX163" s="21">
        <f t="shared" si="166"/>
        <v>82.760946700303492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-1.3596945791505279E-13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284.60021367910457</v>
      </c>
      <c r="BJ163" s="59">
        <f t="shared" si="146"/>
        <v>301.41905904220812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30.678833047940831</v>
      </c>
      <c r="BQ163" s="21">
        <f>EXP(-LN(2)/25)*BQ162+(1-EXP(-LN(2)/25))/(LN(2)/25)*Calculateur!BL163*Calculateur!BN163*VLOOKUP('Données projet'!$B$11,Paramètres!$A$1:$I$89,3,0)*0.475*44/12</f>
        <v>3.3485156416919315</v>
      </c>
      <c r="BR163" s="21">
        <f>EXP(-LN(2)/2)*BR162+(1-EXP(-LN(2)/2))/(LN(2)/2)*BL163*BO163*VLOOKUP('Données projet'!$B$11,Paramètres!$A$1:$I$89,3,0)*0.475*44/12</f>
        <v>2.525776050265865E-13</v>
      </c>
      <c r="BS163" s="22">
        <f t="shared" si="169"/>
        <v>34.027348689633016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-3.4106051316484809E-13</v>
      </c>
      <c r="BZ163" s="13">
        <f>BY163*VLOOKUP('Données projet'!$B$12,Paramètres!$A$1:$I$89,3,0)*VLOOKUP('Données projet'!$B$12,Paramètres!$A$1:$I$89,5,0)</f>
        <v>-1.9065282685915009E-13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490.96084572840579</v>
      </c>
      <c r="CE163" s="59">
        <f t="shared" si="148"/>
        <v>597.91658789908263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47.262616992450077</v>
      </c>
      <c r="CL163" s="21">
        <f>EXP(-LN(2)/25)*CL162+(1-EXP(-LN(2)/25))/(LN(2)/25)*Calculateur!CG163*Calculateur!CI163*VLOOKUP('Données projet'!$B$12,Paramètres!$A$1:$I$89,3,0)*0.475*44/12</f>
        <v>5.276631693471872</v>
      </c>
      <c r="CM163" s="21">
        <f>EXP(-LN(2)/2)*CM162+(1-EXP(-LN(2)/2))/(LN(2)/2)*CG163*CJ163*VLOOKUP('Données projet'!$B$12,Paramètres!$A$1:$I$89,3,0)*0.475*44/12</f>
        <v>3.2616929246885405E-13</v>
      </c>
      <c r="CN163" s="22">
        <f t="shared" si="172"/>
        <v>52.539248685922274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-1.064108801074326E-13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482.28841373508675</v>
      </c>
      <c r="T164" s="59">
        <f t="shared" si="142"/>
        <v>746.97309214631684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65.467583210833453</v>
      </c>
      <c r="AA164" s="21">
        <f>EXP(-LN(2)/25)*AA163+(1-EXP(-LN(2)/25))/(LN(2)/25)*Calculateur!V164*Calculateur!X164*VLOOKUP('Données projet'!$B$9,Paramètres!$A$1:$I$89,3,0)*0.475*44/12</f>
        <v>7.3434505357116731</v>
      </c>
      <c r="AB164" s="21">
        <f>EXP(-LN(2)/2)*AB163+(1-EXP(-LN(2)/2))/(LN(2)/2)*V164*Y164*VLOOKUP('Données projet'!$B$9,Paramètres!$A$1:$I$89,3,0)*0.475*44/12</f>
        <v>1.3212172089883462E-11</v>
      </c>
      <c r="AC164" s="22">
        <f t="shared" si="163"/>
        <v>72.811033746558337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-5.3205440053716299E-14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259.91478350500478</v>
      </c>
      <c r="AO164" s="59">
        <f t="shared" si="144"/>
        <v>192.27194887051007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71.076601732968868</v>
      </c>
      <c r="AV164" s="21">
        <f>EXP(-LN(2)/25)*AV163+(1-EXP(-LN(2)/25))/(LN(2)/25)*Calculateur!AQ164*Calculateur!AS164*VLOOKUP('Données projet'!$B$10,Paramètres!$A$1:$I$89,3,0)*0.475*44/12</f>
        <v>9.9820644659852533</v>
      </c>
      <c r="AW164" s="21">
        <f>EXP(-LN(2)/2)*AW163+(1-EXP(-LN(2)/2))/(LN(2)/2)*AQ164*AT164*VLOOKUP('Données projet'!$B$10,Paramètres!$A$1:$I$89,3,0)*0.475*44/12</f>
        <v>3.1419593783614378E-8</v>
      </c>
      <c r="AX164" s="21">
        <f t="shared" si="166"/>
        <v>81.058666230373703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-1.3596945791505279E-13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284.60021367910457</v>
      </c>
      <c r="BJ164" s="59">
        <f t="shared" si="146"/>
        <v>301.41905904220812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30.07723984411119</v>
      </c>
      <c r="BQ164" s="21">
        <f>EXP(-LN(2)/25)*BQ163+(1-EXP(-LN(2)/25))/(LN(2)/25)*Calculateur!BL164*Calculateur!BN164*VLOOKUP('Données projet'!$B$11,Paramètres!$A$1:$I$89,3,0)*0.475*44/12</f>
        <v>3.2569503053790814</v>
      </c>
      <c r="BR164" s="21">
        <f>EXP(-LN(2)/2)*BR163+(1-EXP(-LN(2)/2))/(LN(2)/2)*BL164*BO164*VLOOKUP('Données projet'!$B$11,Paramètres!$A$1:$I$89,3,0)*0.475*44/12</f>
        <v>1.7859933729015673E-13</v>
      </c>
      <c r="BS164" s="22">
        <f t="shared" si="169"/>
        <v>33.334190149490446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-3.4106051316484809E-13</v>
      </c>
      <c r="BZ164" s="13">
        <f>BY164*VLOOKUP('Données projet'!$B$12,Paramètres!$A$1:$I$89,3,0)*VLOOKUP('Données projet'!$B$12,Paramètres!$A$1:$I$89,5,0)</f>
        <v>-1.9065282685915009E-13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490.96084572840579</v>
      </c>
      <c r="CE164" s="59">
        <f t="shared" si="148"/>
        <v>597.91658789908263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46.33582590057803</v>
      </c>
      <c r="CL164" s="21">
        <f>EXP(-LN(2)/25)*CL163+(1-EXP(-LN(2)/25))/(LN(2)/25)*Calculateur!CG164*Calculateur!CI164*VLOOKUP('Données projet'!$B$12,Paramètres!$A$1:$I$89,3,0)*0.475*44/12</f>
        <v>5.1323419223278828</v>
      </c>
      <c r="CM164" s="21">
        <f>EXP(-LN(2)/2)*CM163+(1-EXP(-LN(2)/2))/(LN(2)/2)*CG164*CJ164*VLOOKUP('Données projet'!$B$12,Paramètres!$A$1:$I$89,3,0)*0.475*44/12</f>
        <v>2.30636518519545E-13</v>
      </c>
      <c r="CN164" s="22">
        <f t="shared" si="172"/>
        <v>51.468167822906139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-1.064108801074326E-13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482.28841373508675</v>
      </c>
      <c r="T165" s="59">
        <f t="shared" si="142"/>
        <v>746.97309214631684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64.183803835351881</v>
      </c>
      <c r="AA165" s="21">
        <f>EXP(-LN(2)/25)*AA164+(1-EXP(-LN(2)/25))/(LN(2)/25)*Calculateur!V165*Calculateur!X165*VLOOKUP('Données projet'!$B$9,Paramètres!$A$1:$I$89,3,0)*0.475*44/12</f>
        <v>7.1426434946373574</v>
      </c>
      <c r="AB165" s="21">
        <f>EXP(-LN(2)/2)*AB164+(1-EXP(-LN(2)/2))/(LN(2)/2)*V165*Y165*VLOOKUP('Données projet'!$B$9,Paramètres!$A$1:$I$89,3,0)*0.475*44/12</f>
        <v>9.3424164789602355E-12</v>
      </c>
      <c r="AC165" s="22">
        <f t="shared" si="163"/>
        <v>71.326447329998572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-5.3205440053716299E-14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259.91478350500478</v>
      </c>
      <c r="AO165" s="59">
        <f t="shared" si="144"/>
        <v>192.27194887051007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69.682832925431711</v>
      </c>
      <c r="AV165" s="21">
        <f>EXP(-LN(2)/25)*AV164+(1-EXP(-LN(2)/25))/(LN(2)/25)*Calculateur!AQ165*Calculateur!AS165*VLOOKUP('Données projet'!$B$10,Paramètres!$A$1:$I$89,3,0)*0.475*44/12</f>
        <v>9.7091043882289298</v>
      </c>
      <c r="AW165" s="21">
        <f>EXP(-LN(2)/2)*AW164+(1-EXP(-LN(2)/2))/(LN(2)/2)*AQ165*AT165*VLOOKUP('Données projet'!$B$10,Paramètres!$A$1:$I$89,3,0)*0.475*44/12</f>
        <v>2.2217007826520422E-8</v>
      </c>
      <c r="AX165" s="21">
        <f t="shared" si="166"/>
        <v>79.391937335877643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-1.3596945791505279E-13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284.60021367910457</v>
      </c>
      <c r="BJ165" s="59">
        <f t="shared" si="146"/>
        <v>301.41905904220812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29.487443516073025</v>
      </c>
      <c r="BQ165" s="21">
        <f>EXP(-LN(2)/25)*BQ164+(1-EXP(-LN(2)/25))/(LN(2)/25)*Calculateur!BL165*Calculateur!BN165*VLOOKUP('Données projet'!$B$11,Paramètres!$A$1:$I$89,3,0)*0.475*44/12</f>
        <v>3.1678888280029178</v>
      </c>
      <c r="BR165" s="21">
        <f>EXP(-LN(2)/2)*BR164+(1-EXP(-LN(2)/2))/(LN(2)/2)*BL165*BO165*VLOOKUP('Données projet'!$B$11,Paramètres!$A$1:$I$89,3,0)*0.475*44/12</f>
        <v>1.2628880251329325E-13</v>
      </c>
      <c r="BS165" s="22">
        <f t="shared" si="169"/>
        <v>32.655332344076072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-3.4106051316484809E-13</v>
      </c>
      <c r="BZ165" s="13">
        <f>BY165*VLOOKUP('Données projet'!$B$12,Paramètres!$A$1:$I$89,3,0)*VLOOKUP('Données projet'!$B$12,Paramètres!$A$1:$I$89,5,0)</f>
        <v>-1.9065282685915009E-13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490.96084572840579</v>
      </c>
      <c r="CE165" s="59">
        <f t="shared" si="148"/>
        <v>597.91658789908263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45.427208616730844</v>
      </c>
      <c r="CL165" s="21">
        <f>EXP(-LN(2)/25)*CL164+(1-EXP(-LN(2)/25))/(LN(2)/25)*Calculateur!CG165*Calculateur!CI165*VLOOKUP('Données projet'!$B$12,Paramètres!$A$1:$I$89,3,0)*0.475*44/12</f>
        <v>4.9919977625636953</v>
      </c>
      <c r="CM165" s="21">
        <f>EXP(-LN(2)/2)*CM164+(1-EXP(-LN(2)/2))/(LN(2)/2)*CG165*CJ165*VLOOKUP('Données projet'!$B$12,Paramètres!$A$1:$I$89,3,0)*0.475*44/12</f>
        <v>1.6308464623442703E-13</v>
      </c>
      <c r="CN165" s="22">
        <f t="shared" si="172"/>
        <v>50.4192063792947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-1.064108801074326E-13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482.28841373508675</v>
      </c>
      <c r="T166" s="59">
        <f t="shared" si="142"/>
        <v>746.97309214631684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62.925198590395404</v>
      </c>
      <c r="AA166" s="21">
        <f>EXP(-LN(2)/25)*AA165+(1-EXP(-LN(2)/25))/(LN(2)/25)*Calculateur!V166*Calculateur!X166*VLOOKUP('Données projet'!$B$9,Paramètres!$A$1:$I$89,3,0)*0.475*44/12</f>
        <v>6.9473275326612018</v>
      </c>
      <c r="AB166" s="21">
        <f>EXP(-LN(2)/2)*AB165+(1-EXP(-LN(2)/2))/(LN(2)/2)*V166*Y166*VLOOKUP('Données projet'!$B$9,Paramètres!$A$1:$I$89,3,0)*0.475*44/12</f>
        <v>6.6060860449417311E-12</v>
      </c>
      <c r="AC166" s="22">
        <f t="shared" si="163"/>
        <v>69.87252612306321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-5.3205440053716299E-14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259.91478350500478</v>
      </c>
      <c r="AO166" s="59">
        <f t="shared" si="144"/>
        <v>192.27194887051007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68.316395074095325</v>
      </c>
      <c r="AV166" s="21">
        <f>EXP(-LN(2)/25)*AV165+(1-EXP(-LN(2)/25))/(LN(2)/25)*Calculateur!AQ166*Calculateur!AS166*VLOOKUP('Données projet'!$B$10,Paramètres!$A$1:$I$89,3,0)*0.475*44/12</f>
        <v>9.4436084181532003</v>
      </c>
      <c r="AW166" s="21">
        <f>EXP(-LN(2)/2)*AW165+(1-EXP(-LN(2)/2))/(LN(2)/2)*AQ166*AT166*VLOOKUP('Données projet'!$B$10,Paramètres!$A$1:$I$89,3,0)*0.475*44/12</f>
        <v>1.5709796891807189E-8</v>
      </c>
      <c r="AX166" s="21">
        <f t="shared" si="166"/>
        <v>77.760003507958331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-1.3596945791505279E-13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284.60021367910457</v>
      </c>
      <c r="BJ166" s="59">
        <f t="shared" si="146"/>
        <v>301.41905904220812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28.909212734287451</v>
      </c>
      <c r="BQ166" s="21">
        <f>EXP(-LN(2)/25)*BQ165+(1-EXP(-LN(2)/25))/(LN(2)/25)*Calculateur!BL166*Calculateur!BN166*VLOOKUP('Données projet'!$B$11,Paramètres!$A$1:$I$89,3,0)*0.475*44/12</f>
        <v>3.0812627414091449</v>
      </c>
      <c r="BR166" s="21">
        <f>EXP(-LN(2)/2)*BR165+(1-EXP(-LN(2)/2))/(LN(2)/2)*BL166*BO166*VLOOKUP('Données projet'!$B$11,Paramètres!$A$1:$I$89,3,0)*0.475*44/12</f>
        <v>8.9299668645078363E-14</v>
      </c>
      <c r="BS166" s="22">
        <f t="shared" si="169"/>
        <v>31.990475475696684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-3.4106051316484809E-13</v>
      </c>
      <c r="BZ166" s="13">
        <f>BY166*VLOOKUP('Données projet'!$B$12,Paramètres!$A$1:$I$89,3,0)*VLOOKUP('Données projet'!$B$12,Paramètres!$A$1:$I$89,5,0)</f>
        <v>-1.9065282685915009E-13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490.96084572840579</v>
      </c>
      <c r="CE166" s="59">
        <f t="shared" si="148"/>
        <v>597.91658789908263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44.536408763618084</v>
      </c>
      <c r="CL166" s="21">
        <f>EXP(-LN(2)/25)*CL165+(1-EXP(-LN(2)/25))/(LN(2)/25)*Calculateur!CG166*Calculateur!CI166*VLOOKUP('Données projet'!$B$12,Paramètres!$A$1:$I$89,3,0)*0.475*44/12</f>
        <v>4.8554913212286381</v>
      </c>
      <c r="CM166" s="21">
        <f>EXP(-LN(2)/2)*CM165+(1-EXP(-LN(2)/2))/(LN(2)/2)*CG166*CJ166*VLOOKUP('Données projet'!$B$12,Paramètres!$A$1:$I$89,3,0)*0.475*44/12</f>
        <v>1.153182592597725E-13</v>
      </c>
      <c r="CN166" s="22">
        <f t="shared" si="172"/>
        <v>49.391900084846839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-1.064108801074326E-13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482.28841373508675</v>
      </c>
      <c r="T167" s="59">
        <f t="shared" si="142"/>
        <v>746.97309214631684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61.691273826619124</v>
      </c>
      <c r="AA167" s="21">
        <f>EXP(-LN(2)/25)*AA166+(1-EXP(-LN(2)/25))/(LN(2)/25)*Calculateur!V167*Calculateur!X167*VLOOKUP('Données projet'!$B$9,Paramètres!$A$1:$I$89,3,0)*0.475*44/12</f>
        <v>6.7573524959365043</v>
      </c>
      <c r="AB167" s="21">
        <f>EXP(-LN(2)/2)*AB166+(1-EXP(-LN(2)/2))/(LN(2)/2)*V167*Y167*VLOOKUP('Données projet'!$B$9,Paramètres!$A$1:$I$89,3,0)*0.475*44/12</f>
        <v>4.6712082394801178E-12</v>
      </c>
      <c r="AC167" s="22">
        <f t="shared" si="163"/>
        <v>68.448626322560301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-5.3205440053716299E-14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259.91478350500478</v>
      </c>
      <c r="AO167" s="59">
        <f t="shared" si="144"/>
        <v>192.27194887051007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66.976752235578857</v>
      </c>
      <c r="AV167" s="21">
        <f>EXP(-LN(2)/25)*AV166+(1-EXP(-LN(2)/25))/(LN(2)/25)*Calculateur!AQ167*Calculateur!AS167*VLOOKUP('Données projet'!$B$10,Paramètres!$A$1:$I$89,3,0)*0.475*44/12</f>
        <v>9.1853724493410187</v>
      </c>
      <c r="AW167" s="21">
        <f>EXP(-LN(2)/2)*AW166+(1-EXP(-LN(2)/2))/(LN(2)/2)*AQ167*AT167*VLOOKUP('Données projet'!$B$10,Paramètres!$A$1:$I$89,3,0)*0.475*44/12</f>
        <v>1.1108503913260211E-8</v>
      </c>
      <c r="AX167" s="21">
        <f t="shared" si="166"/>
        <v>76.162124696028371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-1.3596945791505279E-13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284.60021367910457</v>
      </c>
      <c r="BJ167" s="59">
        <f t="shared" si="146"/>
        <v>301.41905904220812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28.342320705446738</v>
      </c>
      <c r="BQ167" s="21">
        <f>EXP(-LN(2)/25)*BQ166+(1-EXP(-LN(2)/25))/(LN(2)/25)*Calculateur!BL167*Calculateur!BN167*VLOOKUP('Données projet'!$B$11,Paramètres!$A$1:$I$89,3,0)*0.475*44/12</f>
        <v>2.9970054497087464</v>
      </c>
      <c r="BR167" s="21">
        <f>EXP(-LN(2)/2)*BR166+(1-EXP(-LN(2)/2))/(LN(2)/2)*BL167*BO167*VLOOKUP('Données projet'!$B$11,Paramètres!$A$1:$I$89,3,0)*0.475*44/12</f>
        <v>6.3144401256646624E-14</v>
      </c>
      <c r="BS167" s="22">
        <f t="shared" si="169"/>
        <v>31.339326155155547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-3.4106051316484809E-13</v>
      </c>
      <c r="BZ167" s="13">
        <f>BY167*VLOOKUP('Données projet'!$B$12,Paramètres!$A$1:$I$89,3,0)*VLOOKUP('Données projet'!$B$12,Paramètres!$A$1:$I$89,5,0)</f>
        <v>-1.9065282685915009E-13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490.96084572840579</v>
      </c>
      <c r="CE167" s="59">
        <f t="shared" si="148"/>
        <v>597.91658789908263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43.663076952290602</v>
      </c>
      <c r="CL167" s="21">
        <f>EXP(-LN(2)/25)*CL166+(1-EXP(-LN(2)/25))/(LN(2)/25)*Calculateur!CG167*Calculateur!CI167*VLOOKUP('Données projet'!$B$12,Paramètres!$A$1:$I$89,3,0)*0.475*44/12</f>
        <v>4.7227176557104498</v>
      </c>
      <c r="CM167" s="21">
        <f>EXP(-LN(2)/2)*CM166+(1-EXP(-LN(2)/2))/(LN(2)/2)*CG167*CJ167*VLOOKUP('Données projet'!$B$12,Paramètres!$A$1:$I$89,3,0)*0.475*44/12</f>
        <v>8.1542323117213513E-14</v>
      </c>
      <c r="CN167" s="22">
        <f t="shared" si="172"/>
        <v>48.385794608001127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-1.064108801074326E-13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482.28841373508675</v>
      </c>
      <c r="T168" s="59">
        <f t="shared" si="142"/>
        <v>746.97309214631684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60.481545574840702</v>
      </c>
      <c r="AA168" s="21">
        <f>EXP(-LN(2)/25)*AA167+(1-EXP(-LN(2)/25))/(LN(2)/25)*Calculateur!V168*Calculateur!X168*VLOOKUP('Données projet'!$B$9,Paramètres!$A$1:$I$89,3,0)*0.475*44/12</f>
        <v>6.5725723365813966</v>
      </c>
      <c r="AB168" s="21">
        <f>EXP(-LN(2)/2)*AB167+(1-EXP(-LN(2)/2))/(LN(2)/2)*V168*Y168*VLOOKUP('Données projet'!$B$9,Paramètres!$A$1:$I$89,3,0)*0.475*44/12</f>
        <v>3.3030430224708655E-12</v>
      </c>
      <c r="AC168" s="22">
        <f t="shared" si="163"/>
        <v>67.054117911425394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-5.3205440053716299E-14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259.91478350500478</v>
      </c>
      <c r="AO168" s="59">
        <f t="shared" si="144"/>
        <v>192.27194887051007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65.663378976024234</v>
      </c>
      <c r="AV168" s="21">
        <f>EXP(-LN(2)/25)*AV167+(1-EXP(-LN(2)/25))/(LN(2)/25)*Calculateur!AQ168*Calculateur!AS168*VLOOKUP('Données projet'!$B$10,Paramètres!$A$1:$I$89,3,0)*0.475*44/12</f>
        <v>8.9341979566760443</v>
      </c>
      <c r="AW168" s="21">
        <f>EXP(-LN(2)/2)*AW167+(1-EXP(-LN(2)/2))/(LN(2)/2)*AQ168*AT168*VLOOKUP('Données projet'!$B$10,Paramètres!$A$1:$I$89,3,0)*0.475*44/12</f>
        <v>7.8548984459035946E-9</v>
      </c>
      <c r="AX168" s="21">
        <f t="shared" si="166"/>
        <v>74.597576940555172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-1.3596945791505279E-13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284.60021367910457</v>
      </c>
      <c r="BJ168" s="59">
        <f t="shared" si="146"/>
        <v>301.41905904220812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27.786545083521599</v>
      </c>
      <c r="BQ168" s="21">
        <f>EXP(-LN(2)/25)*BQ167+(1-EXP(-LN(2)/25))/(LN(2)/25)*Calculateur!BL168*Calculateur!BN168*VLOOKUP('Données projet'!$B$11,Paramètres!$A$1:$I$89,3,0)*0.475*44/12</f>
        <v>2.9150521780807939</v>
      </c>
      <c r="BR168" s="21">
        <f>EXP(-LN(2)/2)*BR167+(1-EXP(-LN(2)/2))/(LN(2)/2)*BL168*BO168*VLOOKUP('Données projet'!$B$11,Paramètres!$A$1:$I$89,3,0)*0.475*44/12</f>
        <v>4.4649834322539182E-14</v>
      </c>
      <c r="BS168" s="22">
        <f t="shared" si="169"/>
        <v>30.701597261602441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-3.4106051316484809E-13</v>
      </c>
      <c r="BZ168" s="13">
        <f>BY168*VLOOKUP('Données projet'!$B$12,Paramètres!$A$1:$I$89,3,0)*VLOOKUP('Données projet'!$B$12,Paramètres!$A$1:$I$89,5,0)</f>
        <v>-1.9065282685915009E-13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490.96084572840579</v>
      </c>
      <c r="CE168" s="59">
        <f t="shared" si="148"/>
        <v>597.91658789908263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42.806870645103444</v>
      </c>
      <c r="CL168" s="21">
        <f>EXP(-LN(2)/25)*CL167+(1-EXP(-LN(2)/25))/(LN(2)/25)*Calculateur!CG168*Calculateur!CI168*VLOOKUP('Données projet'!$B$12,Paramètres!$A$1:$I$89,3,0)*0.475*44/12</f>
        <v>4.5935746930581196</v>
      </c>
      <c r="CM168" s="21">
        <f>EXP(-LN(2)/2)*CM167+(1-EXP(-LN(2)/2))/(LN(2)/2)*CG168*CJ168*VLOOKUP('Données projet'!$B$12,Paramètres!$A$1:$I$89,3,0)*0.475*44/12</f>
        <v>5.765912962988625E-14</v>
      </c>
      <c r="CN168" s="22">
        <f t="shared" si="172"/>
        <v>47.400445338161617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-1.064108801074326E-13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482.28841373508675</v>
      </c>
      <c r="T169" s="59">
        <f t="shared" si="142"/>
        <v>746.97309214631684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59.295539356218285</v>
      </c>
      <c r="AA169" s="21">
        <f>EXP(-LN(2)/25)*AA168+(1-EXP(-LN(2)/25))/(LN(2)/25)*Calculateur!V169*Calculateur!X169*VLOOKUP('Données projet'!$B$9,Paramètres!$A$1:$I$89,3,0)*0.475*44/12</f>
        <v>6.3928450004010209</v>
      </c>
      <c r="AB169" s="21">
        <f>EXP(-LN(2)/2)*AB168+(1-EXP(-LN(2)/2))/(LN(2)/2)*V169*Y169*VLOOKUP('Données projet'!$B$9,Paramètres!$A$1:$I$89,3,0)*0.475*44/12</f>
        <v>2.3356041197400589E-12</v>
      </c>
      <c r="AC169" s="22">
        <f t="shared" si="163"/>
        <v>65.68838435662164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-5.3205440053716299E-14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259.91478350500478</v>
      </c>
      <c r="AO169" s="59">
        <f t="shared" si="144"/>
        <v>192.27194887051007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64.375760165010888</v>
      </c>
      <c r="AV169" s="21">
        <f>EXP(-LN(2)/25)*AV168+(1-EXP(-LN(2)/25))/(LN(2)/25)*Calculateur!AQ169*Calculateur!AS169*VLOOKUP('Données projet'!$B$10,Paramètres!$A$1:$I$89,3,0)*0.475*44/12</f>
        <v>8.6898918437216874</v>
      </c>
      <c r="AW169" s="21">
        <f>EXP(-LN(2)/2)*AW168+(1-EXP(-LN(2)/2))/(LN(2)/2)*AQ169*AT169*VLOOKUP('Données projet'!$B$10,Paramètres!$A$1:$I$89,3,0)*0.475*44/12</f>
        <v>5.5542519566301054E-9</v>
      </c>
      <c r="AX169" s="21">
        <f t="shared" si="166"/>
        <v>73.065652014286826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-1.3596945791505279E-13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284.60021367910457</v>
      </c>
      <c r="BJ169" s="59">
        <f t="shared" si="146"/>
        <v>301.41905904220812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27.241667882552754</v>
      </c>
      <c r="BQ169" s="21">
        <f>EXP(-LN(2)/25)*BQ168+(1-EXP(-LN(2)/25))/(LN(2)/25)*Calculateur!BL169*Calculateur!BN169*VLOOKUP('Données projet'!$B$11,Paramètres!$A$1:$I$89,3,0)*0.475*44/12</f>
        <v>2.8353399229752427</v>
      </c>
      <c r="BR169" s="21">
        <f>EXP(-LN(2)/2)*BR168+(1-EXP(-LN(2)/2))/(LN(2)/2)*BL169*BO169*VLOOKUP('Données projet'!$B$11,Paramètres!$A$1:$I$89,3,0)*0.475*44/12</f>
        <v>3.1572200628323312E-14</v>
      </c>
      <c r="BS169" s="22">
        <f t="shared" si="169"/>
        <v>30.07700780552803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-3.4106051316484809E-13</v>
      </c>
      <c r="BZ169" s="13">
        <f>BY169*VLOOKUP('Données projet'!$B$12,Paramètres!$A$1:$I$89,3,0)*VLOOKUP('Données projet'!$B$12,Paramètres!$A$1:$I$89,5,0)</f>
        <v>-1.9065282685915009E-13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490.96084572840579</v>
      </c>
      <c r="CE169" s="59">
        <f t="shared" si="148"/>
        <v>597.91658789908263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41.967454021365953</v>
      </c>
      <c r="CL169" s="21">
        <f>EXP(-LN(2)/25)*CL168+(1-EXP(-LN(2)/25))/(LN(2)/25)*Calculateur!CG169*Calculateur!CI169*VLOOKUP('Données projet'!$B$12,Paramètres!$A$1:$I$89,3,0)*0.475*44/12</f>
        <v>4.4679631515108511</v>
      </c>
      <c r="CM169" s="21">
        <f>EXP(-LN(2)/2)*CM168+(1-EXP(-LN(2)/2))/(LN(2)/2)*CG169*CJ169*VLOOKUP('Données projet'!$B$12,Paramètres!$A$1:$I$89,3,0)*0.475*44/12</f>
        <v>4.0771161558606757E-14</v>
      </c>
      <c r="CN169" s="22">
        <f t="shared" si="172"/>
        <v>46.435417172876846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-1.064108801074326E-13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482.28841373508675</v>
      </c>
      <c r="T170" s="59">
        <f t="shared" si="142"/>
        <v>746.97309214631684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58.132789996150684</v>
      </c>
      <c r="AA170" s="21">
        <f>EXP(-LN(2)/25)*AA169+(1-EXP(-LN(2)/25))/(LN(2)/25)*Calculateur!V170*Calculateur!X170*VLOOKUP('Données projet'!$B$9,Paramètres!$A$1:$I$89,3,0)*0.475*44/12</f>
        <v>6.2180323176799472</v>
      </c>
      <c r="AB170" s="21">
        <f>EXP(-LN(2)/2)*AB169+(1-EXP(-LN(2)/2))/(LN(2)/2)*V170*Y170*VLOOKUP('Données projet'!$B$9,Paramètres!$A$1:$I$89,3,0)*0.475*44/12</f>
        <v>1.6515215112354328E-12</v>
      </c>
      <c r="AC170" s="22">
        <f t="shared" si="163"/>
        <v>64.350822313832282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-5.3205440053716299E-14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259.91478350500478</v>
      </c>
      <c r="AO170" s="59">
        <f t="shared" si="144"/>
        <v>192.27194887051007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63.113390773511597</v>
      </c>
      <c r="AV170" s="21">
        <f>EXP(-LN(2)/25)*AV169+(1-EXP(-LN(2)/25))/(LN(2)/25)*Calculateur!AQ170*Calculateur!AS170*VLOOKUP('Données projet'!$B$10,Paramètres!$A$1:$I$89,3,0)*0.475*44/12</f>
        <v>8.4522662942735671</v>
      </c>
      <c r="AW170" s="21">
        <f>EXP(-LN(2)/2)*AW169+(1-EXP(-LN(2)/2))/(LN(2)/2)*AQ170*AT170*VLOOKUP('Données projet'!$B$10,Paramètres!$A$1:$I$89,3,0)*0.475*44/12</f>
        <v>3.9274492229517973E-9</v>
      </c>
      <c r="AX170" s="21">
        <f t="shared" si="166"/>
        <v>71.565657071712621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-1.3596945791505279E-13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284.60021367910457</v>
      </c>
      <c r="BJ170" s="59">
        <f t="shared" si="146"/>
        <v>301.41905904220812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26.707475391152631</v>
      </c>
      <c r="BQ170" s="21">
        <f>EXP(-LN(2)/25)*BQ169+(1-EXP(-LN(2)/25))/(LN(2)/25)*Calculateur!BL170*Calculateur!BN170*VLOOKUP('Données projet'!$B$11,Paramètres!$A$1:$I$89,3,0)*0.475*44/12</f>
        <v>2.7578074036774383</v>
      </c>
      <c r="BR170" s="21">
        <f>EXP(-LN(2)/2)*BR169+(1-EXP(-LN(2)/2))/(LN(2)/2)*BL170*BO170*VLOOKUP('Données projet'!$B$11,Paramètres!$A$1:$I$89,3,0)*0.475*44/12</f>
        <v>2.2324917161269591E-14</v>
      </c>
      <c r="BS170" s="22">
        <f t="shared" si="169"/>
        <v>29.465282794830092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-3.4106051316484809E-13</v>
      </c>
      <c r="BZ170" s="13">
        <f>BY170*VLOOKUP('Données projet'!$B$12,Paramètres!$A$1:$I$89,3,0)*VLOOKUP('Données projet'!$B$12,Paramètres!$A$1:$I$89,5,0)</f>
        <v>-1.9065282685915009E-13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490.96084572840579</v>
      </c>
      <c r="CE170" s="59">
        <f t="shared" si="148"/>
        <v>597.91658789908263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41.144497845626361</v>
      </c>
      <c r="CL170" s="21">
        <f>EXP(-LN(2)/25)*CL169+(1-EXP(-LN(2)/25))/(LN(2)/25)*Calculateur!CG170*Calculateur!CI170*VLOOKUP('Données projet'!$B$12,Paramètres!$A$1:$I$89,3,0)*0.475*44/12</f>
        <v>4.3457864641728161</v>
      </c>
      <c r="CM170" s="21">
        <f>EXP(-LN(2)/2)*CM169+(1-EXP(-LN(2)/2))/(LN(2)/2)*CG170*CJ170*VLOOKUP('Données projet'!$B$12,Paramètres!$A$1:$I$89,3,0)*0.475*44/12</f>
        <v>2.8829564814943125E-14</v>
      </c>
      <c r="CN170" s="22">
        <f t="shared" si="172"/>
        <v>45.490284309799208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-1.064108801074326E-13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482.28841373508675</v>
      </c>
      <c r="T171" s="59">
        <f t="shared" si="142"/>
        <v>746.97309214631684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56.992841441826933</v>
      </c>
      <c r="AA171" s="21">
        <f>EXP(-LN(2)/25)*AA170+(1-EXP(-LN(2)/25))/(LN(2)/25)*Calculateur!V171*Calculateur!X171*VLOOKUP('Données projet'!$B$9,Paramètres!$A$1:$I$89,3,0)*0.475*44/12</f>
        <v>6.0479998969608806</v>
      </c>
      <c r="AB171" s="21">
        <f>EXP(-LN(2)/2)*AB170+(1-EXP(-LN(2)/2))/(LN(2)/2)*V171*Y171*VLOOKUP('Données projet'!$B$9,Paramètres!$A$1:$I$89,3,0)*0.475*44/12</f>
        <v>1.1678020598700294E-12</v>
      </c>
      <c r="AC171" s="22">
        <f t="shared" si="163"/>
        <v>63.040841338788979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-5.3205440053716299E-14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259.91478350500478</v>
      </c>
      <c r="AO171" s="59">
        <f t="shared" si="144"/>
        <v>192.27194887051007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61.875775675810303</v>
      </c>
      <c r="AV171" s="21">
        <f>EXP(-LN(2)/25)*AV170+(1-EXP(-LN(2)/25))/(LN(2)/25)*Calculateur!AQ171*Calculateur!AS171*VLOOKUP('Données projet'!$B$10,Paramètres!$A$1:$I$89,3,0)*0.475*44/12</f>
        <v>8.2211386279712908</v>
      </c>
      <c r="AW171" s="21">
        <f>EXP(-LN(2)/2)*AW170+(1-EXP(-LN(2)/2))/(LN(2)/2)*AQ171*AT171*VLOOKUP('Données projet'!$B$10,Paramètres!$A$1:$I$89,3,0)*0.475*44/12</f>
        <v>2.7771259783150527E-9</v>
      </c>
      <c r="AX171" s="21">
        <f t="shared" si="166"/>
        <v>70.096914306558716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-1.3596945791505279E-13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284.60021367910457</v>
      </c>
      <c r="BJ171" s="59">
        <f t="shared" si="146"/>
        <v>301.41905904220812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26.183758088683618</v>
      </c>
      <c r="BQ171" s="21">
        <f>EXP(-LN(2)/25)*BQ170+(1-EXP(-LN(2)/25))/(LN(2)/25)*Calculateur!BL171*Calculateur!BN171*VLOOKUP('Données projet'!$B$11,Paramètres!$A$1:$I$89,3,0)*0.475*44/12</f>
        <v>2.6823950151970903</v>
      </c>
      <c r="BR171" s="21">
        <f>EXP(-LN(2)/2)*BR170+(1-EXP(-LN(2)/2))/(LN(2)/2)*BL171*BO171*VLOOKUP('Données projet'!$B$11,Paramètres!$A$1:$I$89,3,0)*0.475*44/12</f>
        <v>1.5786100314161656E-14</v>
      </c>
      <c r="BS171" s="22">
        <f t="shared" si="169"/>
        <v>28.866153103880723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-3.4106051316484809E-13</v>
      </c>
      <c r="BZ171" s="13">
        <f>BY171*VLOOKUP('Données projet'!$B$12,Paramètres!$A$1:$I$89,3,0)*VLOOKUP('Données projet'!$B$12,Paramètres!$A$1:$I$89,5,0)</f>
        <v>-1.9065282685915009E-13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490.96084572840579</v>
      </c>
      <c r="CE171" s="59">
        <f t="shared" si="148"/>
        <v>597.91658789908263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40.337679338539324</v>
      </c>
      <c r="CL171" s="21">
        <f>EXP(-LN(2)/25)*CL170+(1-EXP(-LN(2)/25))/(LN(2)/25)*Calculateur!CG171*Calculateur!CI171*VLOOKUP('Données projet'!$B$12,Paramètres!$A$1:$I$89,3,0)*0.475*44/12</f>
        <v>4.2269507047750325</v>
      </c>
      <c r="CM171" s="21">
        <f>EXP(-LN(2)/2)*CM170+(1-EXP(-LN(2)/2))/(LN(2)/2)*CG171*CJ171*VLOOKUP('Données projet'!$B$12,Paramètres!$A$1:$I$89,3,0)*0.475*44/12</f>
        <v>2.0385580779303378E-14</v>
      </c>
      <c r="CN171" s="22">
        <f t="shared" si="172"/>
        <v>44.564630043314381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-1.064108801074326E-13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482.28841373508675</v>
      </c>
      <c r="T172" s="59">
        <f t="shared" si="142"/>
        <v>746.97309214631684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55.875246583353501</v>
      </c>
      <c r="AA172" s="21">
        <f>EXP(-LN(2)/25)*AA171+(1-EXP(-LN(2)/25))/(LN(2)/25)*Calculateur!V172*Calculateur!X172*VLOOKUP('Données projet'!$B$9,Paramètres!$A$1:$I$89,3,0)*0.475*44/12</f>
        <v>5.8826170217279934</v>
      </c>
      <c r="AB172" s="21">
        <f>EXP(-LN(2)/2)*AB171+(1-EXP(-LN(2)/2))/(LN(2)/2)*V172*Y172*VLOOKUP('Données projet'!$B$9,Paramètres!$A$1:$I$89,3,0)*0.475*44/12</f>
        <v>8.2576075561771639E-13</v>
      </c>
      <c r="AC172" s="22">
        <f t="shared" si="163"/>
        <v>61.757863605082321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-5.3205440053716299E-14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259.91478350500478</v>
      </c>
      <c r="AO172" s="59">
        <f t="shared" si="144"/>
        <v>192.27194887051007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60.662429455304263</v>
      </c>
      <c r="AV172" s="21">
        <f>EXP(-LN(2)/25)*AV171+(1-EXP(-LN(2)/25))/(LN(2)/25)*Calculateur!AQ172*Calculateur!AS172*VLOOKUP('Données projet'!$B$10,Paramètres!$A$1:$I$89,3,0)*0.475*44/12</f>
        <v>7.9963311598585252</v>
      </c>
      <c r="AW172" s="21">
        <f>EXP(-LN(2)/2)*AW171+(1-EXP(-LN(2)/2))/(LN(2)/2)*AQ172*AT172*VLOOKUP('Données projet'!$B$10,Paramètres!$A$1:$I$89,3,0)*0.475*44/12</f>
        <v>1.9637246114758986E-9</v>
      </c>
      <c r="AX172" s="21">
        <f t="shared" si="166"/>
        <v>68.658760617126518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-1.3596945791505279E-13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284.60021367910457</v>
      </c>
      <c r="BJ172" s="59">
        <f t="shared" si="146"/>
        <v>301.41905904220812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25.670310563080008</v>
      </c>
      <c r="BQ172" s="21">
        <f>EXP(-LN(2)/25)*BQ171+(1-EXP(-LN(2)/25))/(LN(2)/25)*Calculateur!BL172*Calculateur!BN172*VLOOKUP('Données projet'!$B$11,Paramètres!$A$1:$I$89,3,0)*0.475*44/12</f>
        <v>2.6090447824455025</v>
      </c>
      <c r="BR172" s="21">
        <f>EXP(-LN(2)/2)*BR171+(1-EXP(-LN(2)/2))/(LN(2)/2)*BL172*BO172*VLOOKUP('Données projet'!$B$11,Paramètres!$A$1:$I$89,3,0)*0.475*44/12</f>
        <v>1.1162458580634795E-14</v>
      </c>
      <c r="BS172" s="22">
        <f t="shared" si="169"/>
        <v>28.27935534552552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-3.4106051316484809E-13</v>
      </c>
      <c r="BZ172" s="13">
        <f>BY172*VLOOKUP('Données projet'!$B$12,Paramètres!$A$1:$I$89,3,0)*VLOOKUP('Données projet'!$B$12,Paramètres!$A$1:$I$89,5,0)</f>
        <v>-1.9065282685915009E-13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490.96084572840579</v>
      </c>
      <c r="CE172" s="59">
        <f t="shared" si="148"/>
        <v>597.91658789908263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39.546682050265566</v>
      </c>
      <c r="CL172" s="21">
        <f>EXP(-LN(2)/25)*CL171+(1-EXP(-LN(2)/25))/(LN(2)/25)*Calculateur!CG172*Calculateur!CI172*VLOOKUP('Données projet'!$B$12,Paramètres!$A$1:$I$89,3,0)*0.475*44/12</f>
        <v>4.1113645154672822</v>
      </c>
      <c r="CM172" s="21">
        <f>EXP(-LN(2)/2)*CM171+(1-EXP(-LN(2)/2))/(LN(2)/2)*CG172*CJ172*VLOOKUP('Données projet'!$B$12,Paramètres!$A$1:$I$89,3,0)*0.475*44/12</f>
        <v>1.4414782407471563E-14</v>
      </c>
      <c r="CN172" s="22">
        <f t="shared" si="172"/>
        <v>43.65804656573286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-1.064108801074326E-13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482.28841373508675</v>
      </c>
      <c r="T173" s="59">
        <f t="shared" si="142"/>
        <v>746.97309214631684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54.779567078389185</v>
      </c>
      <c r="AA173" s="21">
        <f>EXP(-LN(2)/25)*AA172+(1-EXP(-LN(2)/25))/(LN(2)/25)*Calculateur!V173*Calculateur!X173*VLOOKUP('Données projet'!$B$9,Paramètres!$A$1:$I$89,3,0)*0.475*44/12</f>
        <v>5.7217565499154572</v>
      </c>
      <c r="AB173" s="21">
        <f>EXP(-LN(2)/2)*AB172+(1-EXP(-LN(2)/2))/(LN(2)/2)*V173*Y173*VLOOKUP('Données projet'!$B$9,Paramètres!$A$1:$I$89,3,0)*0.475*44/12</f>
        <v>5.8390102993501472E-13</v>
      </c>
      <c r="AC173" s="22">
        <f t="shared" si="163"/>
        <v>60.501323628305222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-5.3205440053716299E-14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259.91478350500478</v>
      </c>
      <c r="AO173" s="59">
        <f t="shared" si="144"/>
        <v>192.27194887051007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59.472876214114223</v>
      </c>
      <c r="AV173" s="21">
        <f>EXP(-LN(2)/25)*AV172+(1-EXP(-LN(2)/25))/(LN(2)/25)*Calculateur!AQ173*Calculateur!AS173*VLOOKUP('Données projet'!$B$10,Paramètres!$A$1:$I$89,3,0)*0.475*44/12</f>
        <v>7.7776710637834139</v>
      </c>
      <c r="AW173" s="21">
        <f>EXP(-LN(2)/2)*AW172+(1-EXP(-LN(2)/2))/(LN(2)/2)*AQ173*AT173*VLOOKUP('Données projet'!$B$10,Paramètres!$A$1:$I$89,3,0)*0.475*44/12</f>
        <v>1.3885629891575264E-9</v>
      </c>
      <c r="AX173" s="21">
        <f t="shared" si="166"/>
        <v>67.250547279286195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-1.3596945791505279E-13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284.60021367910457</v>
      </c>
      <c r="BJ173" s="59">
        <f t="shared" si="146"/>
        <v>301.41905904220812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25.166931430281419</v>
      </c>
      <c r="BQ173" s="21">
        <f>EXP(-LN(2)/25)*BQ172+(1-EXP(-LN(2)/25))/(LN(2)/25)*Calculateur!BL173*Calculateur!BN173*VLOOKUP('Données projet'!$B$11,Paramètres!$A$1:$I$89,3,0)*0.475*44/12</f>
        <v>2.5377003156658282</v>
      </c>
      <c r="BR173" s="21">
        <f>EXP(-LN(2)/2)*BR172+(1-EXP(-LN(2)/2))/(LN(2)/2)*BL173*BO173*VLOOKUP('Données projet'!$B$11,Paramètres!$A$1:$I$89,3,0)*0.475*44/12</f>
        <v>7.893050157080828E-15</v>
      </c>
      <c r="BS173" s="22">
        <f t="shared" si="169"/>
        <v>27.704631745947253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-3.4106051316484809E-13</v>
      </c>
      <c r="BZ173" s="13">
        <f>BY173*VLOOKUP('Données projet'!$B$12,Paramètres!$A$1:$I$89,3,0)*VLOOKUP('Données projet'!$B$12,Paramètres!$A$1:$I$89,5,0)</f>
        <v>-1.9065282685915009E-13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490.96084572840579</v>
      </c>
      <c r="CE173" s="59">
        <f t="shared" si="148"/>
        <v>597.91658789908263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38.771195736354152</v>
      </c>
      <c r="CL173" s="21">
        <f>EXP(-LN(2)/25)*CL172+(1-EXP(-LN(2)/25))/(LN(2)/25)*Calculateur!CG173*Calculateur!CI173*VLOOKUP('Données projet'!$B$12,Paramètres!$A$1:$I$89,3,0)*0.475*44/12</f>
        <v>3.9989390365845661</v>
      </c>
      <c r="CM173" s="21">
        <f>EXP(-LN(2)/2)*CM172+(1-EXP(-LN(2)/2))/(LN(2)/2)*CG173*CJ173*VLOOKUP('Données projet'!$B$12,Paramètres!$A$1:$I$89,3,0)*0.475*44/12</f>
        <v>1.0192790389651689E-14</v>
      </c>
      <c r="CN173" s="22">
        <f t="shared" si="172"/>
        <v>42.770134772938725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-1.064108801074326E-13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482.28841373508675</v>
      </c>
      <c r="T174" s="59">
        <f t="shared" si="142"/>
        <v>746.97309214631684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53.705373180218707</v>
      </c>
      <c r="AA174" s="21">
        <f>EXP(-LN(2)/25)*AA173+(1-EXP(-LN(2)/25))/(LN(2)/25)*Calculateur!V174*Calculateur!X174*VLOOKUP('Données projet'!$B$9,Paramètres!$A$1:$I$89,3,0)*0.475*44/12</f>
        <v>5.5652948161639193</v>
      </c>
      <c r="AB174" s="21">
        <f>EXP(-LN(2)/2)*AB173+(1-EXP(-LN(2)/2))/(LN(2)/2)*V174*Y174*VLOOKUP('Données projet'!$B$9,Paramètres!$A$1:$I$89,3,0)*0.475*44/12</f>
        <v>4.1288037780885819E-13</v>
      </c>
      <c r="AC174" s="22">
        <f t="shared" si="163"/>
        <v>59.27066799638304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-5.3205440053716299E-14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259.91478350500478</v>
      </c>
      <c r="AO174" s="59">
        <f t="shared" si="144"/>
        <v>192.27194887051007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58.306649386428084</v>
      </c>
      <c r="AV174" s="21">
        <f>EXP(-LN(2)/25)*AV173+(1-EXP(-LN(2)/25))/(LN(2)/25)*Calculateur!AQ174*Calculateur!AS174*VLOOKUP('Données projet'!$B$10,Paramètres!$A$1:$I$89,3,0)*0.475*44/12</f>
        <v>7.5649902395343114</v>
      </c>
      <c r="AW174" s="21">
        <f>EXP(-LN(2)/2)*AW173+(1-EXP(-LN(2)/2))/(LN(2)/2)*AQ174*AT174*VLOOKUP('Données projet'!$B$10,Paramètres!$A$1:$I$89,3,0)*0.475*44/12</f>
        <v>9.8186230573794932E-10</v>
      </c>
      <c r="AX174" s="21">
        <f t="shared" si="166"/>
        <v>65.871639626944258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-1.3596945791505279E-13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284.60021367910457</v>
      </c>
      <c r="BJ174" s="59">
        <f t="shared" si="146"/>
        <v>301.41905904220812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24.673423255246057</v>
      </c>
      <c r="BQ174" s="21">
        <f>EXP(-LN(2)/25)*BQ173+(1-EXP(-LN(2)/25))/(LN(2)/25)*Calculateur!BL174*Calculateur!BN174*VLOOKUP('Données projet'!$B$11,Paramètres!$A$1:$I$89,3,0)*0.475*44/12</f>
        <v>2.4683067670820864</v>
      </c>
      <c r="BR174" s="21">
        <f>EXP(-LN(2)/2)*BR173+(1-EXP(-LN(2)/2))/(LN(2)/2)*BL174*BO174*VLOOKUP('Données projet'!$B$11,Paramètres!$A$1:$I$89,3,0)*0.475*44/12</f>
        <v>5.5812292903173977E-15</v>
      </c>
      <c r="BS174" s="22">
        <f t="shared" si="169"/>
        <v>27.141730022328151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-3.4106051316484809E-13</v>
      </c>
      <c r="BZ174" s="13">
        <f>BY174*VLOOKUP('Données projet'!$B$12,Paramètres!$A$1:$I$89,3,0)*VLOOKUP('Données projet'!$B$12,Paramètres!$A$1:$I$89,5,0)</f>
        <v>-1.9065282685915009E-13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490.96084572840579</v>
      </c>
      <c r="CE174" s="59">
        <f t="shared" si="148"/>
        <v>597.91658789908263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38.010916236058591</v>
      </c>
      <c r="CL174" s="21">
        <f>EXP(-LN(2)/25)*CL173+(1-EXP(-LN(2)/25))/(LN(2)/25)*Calculateur!CG174*Calculateur!CI174*VLOOKUP('Données projet'!$B$12,Paramètres!$A$1:$I$89,3,0)*0.475*44/12</f>
        <v>3.8895878383340969</v>
      </c>
      <c r="CM174" s="21">
        <f>EXP(-LN(2)/2)*CM173+(1-EXP(-LN(2)/2))/(LN(2)/2)*CG174*CJ174*VLOOKUP('Données projet'!$B$12,Paramètres!$A$1:$I$89,3,0)*0.475*44/12</f>
        <v>7.2073912037357813E-15</v>
      </c>
      <c r="CN174" s="22">
        <f t="shared" si="172"/>
        <v>41.900504074392693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-1.064108801074326E-13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482.28841373508675</v>
      </c>
      <c r="T175" s="59">
        <f t="shared" si="142"/>
        <v>746.97309214631684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52.652243569197772</v>
      </c>
      <c r="AA175" s="21">
        <f>EXP(-LN(2)/25)*AA174+(1-EXP(-LN(2)/25))/(LN(2)/25)*Calculateur!V175*Calculateur!X175*VLOOKUP('Données projet'!$B$9,Paramètres!$A$1:$I$89,3,0)*0.475*44/12</f>
        <v>5.4131115367497822</v>
      </c>
      <c r="AB175" s="21">
        <f>EXP(-LN(2)/2)*AB174+(1-EXP(-LN(2)/2))/(LN(2)/2)*V175*Y175*VLOOKUP('Données projet'!$B$9,Paramètres!$A$1:$I$89,3,0)*0.475*44/12</f>
        <v>2.9195051496750736E-13</v>
      </c>
      <c r="AC175" s="22">
        <f t="shared" si="163"/>
        <v>58.065355105947845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-5.3205440053716299E-14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259.91478350500478</v>
      </c>
      <c r="AO175" s="59">
        <f t="shared" si="144"/>
        <v>192.27194887051007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57.163291555504749</v>
      </c>
      <c r="AV175" s="21">
        <f>EXP(-LN(2)/25)*AV174+(1-EXP(-LN(2)/25))/(LN(2)/25)*Calculateur!AQ175*Calculateur!AS175*VLOOKUP('Données projet'!$B$10,Paramètres!$A$1:$I$89,3,0)*0.475*44/12</f>
        <v>7.3581251836086992</v>
      </c>
      <c r="AW175" s="21">
        <f>EXP(-LN(2)/2)*AW174+(1-EXP(-LN(2)/2))/(LN(2)/2)*AQ175*AT175*VLOOKUP('Données projet'!$B$10,Paramètres!$A$1:$I$89,3,0)*0.475*44/12</f>
        <v>6.9428149457876318E-10</v>
      </c>
      <c r="AX175" s="21">
        <f t="shared" si="166"/>
        <v>64.521416739807734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-1.3596945791505279E-13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284.60021367910457</v>
      </c>
      <c r="BJ175" s="59">
        <f t="shared" si="146"/>
        <v>301.41905904220812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24.189592474512871</v>
      </c>
      <c r="BQ175" s="21">
        <f>EXP(-LN(2)/25)*BQ174+(1-EXP(-LN(2)/25))/(LN(2)/25)*Calculateur!BL175*Calculateur!BN175*VLOOKUP('Données projet'!$B$11,Paramètres!$A$1:$I$89,3,0)*0.475*44/12</f>
        <v>2.4008107887336152</v>
      </c>
      <c r="BR175" s="21">
        <f>EXP(-LN(2)/2)*BR174+(1-EXP(-LN(2)/2))/(LN(2)/2)*BL175*BO175*VLOOKUP('Données projet'!$B$11,Paramètres!$A$1:$I$89,3,0)*0.475*44/12</f>
        <v>3.946525078540414E-15</v>
      </c>
      <c r="BS175" s="22">
        <f t="shared" si="169"/>
        <v>26.59040326324649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-3.4106051316484809E-13</v>
      </c>
      <c r="BZ175" s="13">
        <f>BY175*VLOOKUP('Données projet'!$B$12,Paramètres!$A$1:$I$89,3,0)*VLOOKUP('Données projet'!$B$12,Paramètres!$A$1:$I$89,5,0)</f>
        <v>-1.9065282685915009E-13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490.96084572840579</v>
      </c>
      <c r="CE175" s="59">
        <f t="shared" si="148"/>
        <v>597.91658789908263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37.265545353039123</v>
      </c>
      <c r="CL175" s="21">
        <f>EXP(-LN(2)/25)*CL174+(1-EXP(-LN(2)/25))/(LN(2)/25)*Calculateur!CG175*Calculateur!CI175*VLOOKUP('Données projet'!$B$12,Paramètres!$A$1:$I$89,3,0)*0.475*44/12</f>
        <v>3.7832268543503162</v>
      </c>
      <c r="CM175" s="21">
        <f>EXP(-LN(2)/2)*CM174+(1-EXP(-LN(2)/2))/(LN(2)/2)*CG175*CJ175*VLOOKUP('Données projet'!$B$12,Paramètres!$A$1:$I$89,3,0)*0.475*44/12</f>
        <v>5.0963951948258446E-15</v>
      </c>
      <c r="CN175" s="22">
        <f t="shared" si="172"/>
        <v>41.048772207389447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-1.064108801074326E-13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482.28841373508675</v>
      </c>
      <c r="T176" s="59">
        <f t="shared" si="142"/>
        <v>746.97309214631684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51.619765187503319</v>
      </c>
      <c r="AA176" s="21">
        <f>EXP(-LN(2)/25)*AA175+(1-EXP(-LN(2)/25))/(LN(2)/25)*Calculateur!V176*Calculateur!X176*VLOOKUP('Données projet'!$B$9,Paramètres!$A$1:$I$89,3,0)*0.475*44/12</f>
        <v>5.2650897171141953</v>
      </c>
      <c r="AB176" s="21">
        <f>EXP(-LN(2)/2)*AB175+(1-EXP(-LN(2)/2))/(LN(2)/2)*V176*Y176*VLOOKUP('Données projet'!$B$9,Paramètres!$A$1:$I$89,3,0)*0.475*44/12</f>
        <v>2.064401889044291E-13</v>
      </c>
      <c r="AC176" s="22">
        <f t="shared" si="163"/>
        <v>56.884854904617718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-5.3205440053716299E-14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259.91478350500478</v>
      </c>
      <c r="AO176" s="59">
        <f t="shared" si="144"/>
        <v>192.27194887051007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56.042354274266401</v>
      </c>
      <c r="AV176" s="21">
        <f>EXP(-LN(2)/25)*AV175+(1-EXP(-LN(2)/25))/(LN(2)/25)*Calculateur!AQ176*Calculateur!AS176*VLOOKUP('Données projet'!$B$10,Paramètres!$A$1:$I$89,3,0)*0.475*44/12</f>
        <v>7.1569168635159333</v>
      </c>
      <c r="AW176" s="21">
        <f>EXP(-LN(2)/2)*AW175+(1-EXP(-LN(2)/2))/(LN(2)/2)*AQ176*AT176*VLOOKUP('Données projet'!$B$10,Paramètres!$A$1:$I$89,3,0)*0.475*44/12</f>
        <v>4.9093115286897466E-10</v>
      </c>
      <c r="AX176" s="21">
        <f t="shared" si="166"/>
        <v>63.199271138273261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-1.3596945791505279E-13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284.60021367910457</v>
      </c>
      <c r="BJ176" s="59">
        <f t="shared" si="146"/>
        <v>301.41905904220812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23.715249320282226</v>
      </c>
      <c r="BQ176" s="21">
        <f>EXP(-LN(2)/25)*BQ175+(1-EXP(-LN(2)/25))/(LN(2)/25)*Calculateur!BL176*Calculateur!BN176*VLOOKUP('Données projet'!$B$11,Paramètres!$A$1:$I$89,3,0)*0.475*44/12</f>
        <v>2.3351604914625423</v>
      </c>
      <c r="BR176" s="21">
        <f>EXP(-LN(2)/2)*BR175+(1-EXP(-LN(2)/2))/(LN(2)/2)*BL176*BO176*VLOOKUP('Données projet'!$B$11,Paramètres!$A$1:$I$89,3,0)*0.475*44/12</f>
        <v>2.7906146451586988E-15</v>
      </c>
      <c r="BS176" s="22">
        <f t="shared" si="169"/>
        <v>26.050409811744771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-3.4106051316484809E-13</v>
      </c>
      <c r="BZ176" s="13">
        <f>BY176*VLOOKUP('Données projet'!$B$12,Paramètres!$A$1:$I$89,3,0)*VLOOKUP('Données projet'!$B$12,Paramètres!$A$1:$I$89,5,0)</f>
        <v>-1.9065282685915009E-13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490.96084572840579</v>
      </c>
      <c r="CE176" s="59">
        <f t="shared" si="148"/>
        <v>597.91658789908263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36.534790738404318</v>
      </c>
      <c r="CL176" s="21">
        <f>EXP(-LN(2)/25)*CL175+(1-EXP(-LN(2)/25))/(LN(2)/25)*Calculateur!CG176*Calculateur!CI176*VLOOKUP('Données projet'!$B$12,Paramètres!$A$1:$I$89,3,0)*0.475*44/12</f>
        <v>3.6797743170668533</v>
      </c>
      <c r="CM176" s="21">
        <f>EXP(-LN(2)/2)*CM175+(1-EXP(-LN(2)/2))/(LN(2)/2)*CG176*CJ176*VLOOKUP('Données projet'!$B$12,Paramètres!$A$1:$I$89,3,0)*0.475*44/12</f>
        <v>3.6036956018678907E-15</v>
      </c>
      <c r="CN176" s="22">
        <f t="shared" si="172"/>
        <v>40.214565055471176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-1.064108801074326E-13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482.28841373508675</v>
      </c>
      <c r="T177" s="59">
        <f t="shared" si="142"/>
        <v>746.97309214631684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50.607533077124266</v>
      </c>
      <c r="AA177" s="21">
        <f>EXP(-LN(2)/25)*AA176+(1-EXP(-LN(2)/25))/(LN(2)/25)*Calculateur!V177*Calculateur!X177*VLOOKUP('Données projet'!$B$9,Paramètres!$A$1:$I$89,3,0)*0.475*44/12</f>
        <v>5.1211155619206732</v>
      </c>
      <c r="AB177" s="21">
        <f>EXP(-LN(2)/2)*AB176+(1-EXP(-LN(2)/2))/(LN(2)/2)*V177*Y177*VLOOKUP('Données projet'!$B$9,Paramètres!$A$1:$I$89,3,0)*0.475*44/12</f>
        <v>1.4597525748375368E-13</v>
      </c>
      <c r="AC177" s="22">
        <f t="shared" si="163"/>
        <v>55.72864863904509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-5.3205440053716299E-14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259.91478350500478</v>
      </c>
      <c r="AO177" s="59">
        <f t="shared" si="144"/>
        <v>192.27194887051007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54.943397889408907</v>
      </c>
      <c r="AV177" s="21">
        <f>EXP(-LN(2)/25)*AV176+(1-EXP(-LN(2)/25))/(LN(2)/25)*Calculateur!AQ177*Calculateur!AS177*VLOOKUP('Données projet'!$B$10,Paramètres!$A$1:$I$89,3,0)*0.475*44/12</f>
        <v>6.9612105955171897</v>
      </c>
      <c r="AW177" s="21">
        <f>EXP(-LN(2)/2)*AW176+(1-EXP(-LN(2)/2))/(LN(2)/2)*AQ177*AT177*VLOOKUP('Données projet'!$B$10,Paramètres!$A$1:$I$89,3,0)*0.475*44/12</f>
        <v>3.4714074728938159E-10</v>
      </c>
      <c r="AX177" s="21">
        <f t="shared" si="166"/>
        <v>61.904608485273236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-1.3596945791505279E-13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284.60021367910457</v>
      </c>
      <c r="BJ177" s="59">
        <f t="shared" si="146"/>
        <v>301.41905904220812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23.250207745985289</v>
      </c>
      <c r="BQ177" s="21">
        <f>EXP(-LN(2)/25)*BQ176+(1-EXP(-LN(2)/25))/(LN(2)/25)*Calculateur!BL177*Calculateur!BN177*VLOOKUP('Données projet'!$B$11,Paramètres!$A$1:$I$89,3,0)*0.475*44/12</f>
        <v>2.2713054050227459</v>
      </c>
      <c r="BR177" s="21">
        <f>EXP(-LN(2)/2)*BR176+(1-EXP(-LN(2)/2))/(LN(2)/2)*BL177*BO177*VLOOKUP('Données projet'!$B$11,Paramètres!$A$1:$I$89,3,0)*0.475*44/12</f>
        <v>1.973262539270207E-15</v>
      </c>
      <c r="BS177" s="22">
        <f t="shared" si="169"/>
        <v>25.52151315100804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-3.4106051316484809E-13</v>
      </c>
      <c r="BZ177" s="13">
        <f>BY177*VLOOKUP('Données projet'!$B$12,Paramètres!$A$1:$I$89,3,0)*VLOOKUP('Données projet'!$B$12,Paramètres!$A$1:$I$89,5,0)</f>
        <v>-1.9065282685915009E-13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490.96084572840579</v>
      </c>
      <c r="CE177" s="59">
        <f t="shared" si="148"/>
        <v>597.91658789908263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35.818365776046193</v>
      </c>
      <c r="CL177" s="21">
        <f>EXP(-LN(2)/25)*CL176+(1-EXP(-LN(2)/25))/(LN(2)/25)*Calculateur!CG177*Calculateur!CI177*VLOOKUP('Données projet'!$B$12,Paramètres!$A$1:$I$89,3,0)*0.475*44/12</f>
        <v>3.579150694855739</v>
      </c>
      <c r="CM177" s="21">
        <f>EXP(-LN(2)/2)*CM176+(1-EXP(-LN(2)/2))/(LN(2)/2)*CG177*CJ177*VLOOKUP('Données projet'!$B$12,Paramètres!$A$1:$I$89,3,0)*0.475*44/12</f>
        <v>2.5481975974129223E-15</v>
      </c>
      <c r="CN177" s="22">
        <f t="shared" si="172"/>
        <v>39.397516470901934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-1.064108801074326E-13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482.28841373508675</v>
      </c>
      <c r="T178" s="59">
        <f t="shared" si="142"/>
        <v>746.97309214631684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49.615150221029118</v>
      </c>
      <c r="AA178" s="21">
        <f>EXP(-LN(2)/25)*AA177+(1-EXP(-LN(2)/25))/(LN(2)/25)*Calculateur!V178*Calculateur!X178*VLOOKUP('Données projet'!$B$9,Paramètres!$A$1:$I$89,3,0)*0.475*44/12</f>
        <v>4.9810783875721896</v>
      </c>
      <c r="AB178" s="21">
        <f>EXP(-LN(2)/2)*AB177+(1-EXP(-LN(2)/2))/(LN(2)/2)*V178*Y178*VLOOKUP('Données projet'!$B$9,Paramètres!$A$1:$I$89,3,0)*0.475*44/12</f>
        <v>1.0322009445221455E-13</v>
      </c>
      <c r="AC178" s="22">
        <f t="shared" si="163"/>
        <v>54.596228608601415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-5.3205440053716299E-14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259.91478350500478</v>
      </c>
      <c r="AO178" s="59">
        <f t="shared" si="144"/>
        <v>192.27194887051007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53.865991368961261</v>
      </c>
      <c r="AV178" s="21">
        <f>EXP(-LN(2)/25)*AV177+(1-EXP(-LN(2)/25))/(LN(2)/25)*Calculateur!AQ178*Calculateur!AS178*VLOOKUP('Données projet'!$B$10,Paramètres!$A$1:$I$89,3,0)*0.475*44/12</f>
        <v>6.7708559257086174</v>
      </c>
      <c r="AW178" s="21">
        <f>EXP(-LN(2)/2)*AW177+(1-EXP(-LN(2)/2))/(LN(2)/2)*AQ178*AT178*VLOOKUP('Données projet'!$B$10,Paramètres!$A$1:$I$89,3,0)*0.475*44/12</f>
        <v>2.4546557643448733E-10</v>
      </c>
      <c r="AX178" s="21">
        <f t="shared" si="166"/>
        <v>60.636847294915341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-1.3596945791505279E-13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284.60021367910457</v>
      </c>
      <c r="BJ178" s="59">
        <f t="shared" si="146"/>
        <v>301.41905904220812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22.794285353312961</v>
      </c>
      <c r="BQ178" s="21">
        <f>EXP(-LN(2)/25)*BQ177+(1-EXP(-LN(2)/25))/(LN(2)/25)*Calculateur!BL178*Calculateur!BN178*VLOOKUP('Données projet'!$B$11,Paramètres!$A$1:$I$89,3,0)*0.475*44/12</f>
        <v>2.2091964392796388</v>
      </c>
      <c r="BR178" s="21">
        <f>EXP(-LN(2)/2)*BR177+(1-EXP(-LN(2)/2))/(LN(2)/2)*BL178*BO178*VLOOKUP('Données projet'!$B$11,Paramètres!$A$1:$I$89,3,0)*0.475*44/12</f>
        <v>1.3953073225793494E-15</v>
      </c>
      <c r="BS178" s="22">
        <f t="shared" si="169"/>
        <v>25.003481792592602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-3.4106051316484809E-13</v>
      </c>
      <c r="BZ178" s="13">
        <f>BY178*VLOOKUP('Données projet'!$B$12,Paramètres!$A$1:$I$89,3,0)*VLOOKUP('Données projet'!$B$12,Paramètres!$A$1:$I$89,5,0)</f>
        <v>-1.9065282685915009E-13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490.96084572840579</v>
      </c>
      <c r="CE178" s="59">
        <f t="shared" si="148"/>
        <v>597.91658789908263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35.11598947022383</v>
      </c>
      <c r="CL178" s="21">
        <f>EXP(-LN(2)/25)*CL177+(1-EXP(-LN(2)/25))/(LN(2)/25)*Calculateur!CG178*Calculateur!CI178*VLOOKUP('Données projet'!$B$12,Paramètres!$A$1:$I$89,3,0)*0.475*44/12</f>
        <v>3.4812786308855541</v>
      </c>
      <c r="CM178" s="21">
        <f>EXP(-LN(2)/2)*CM177+(1-EXP(-LN(2)/2))/(LN(2)/2)*CG178*CJ178*VLOOKUP('Données projet'!$B$12,Paramètres!$A$1:$I$89,3,0)*0.475*44/12</f>
        <v>1.8018478009339453E-15</v>
      </c>
      <c r="CN178" s="22">
        <f t="shared" si="172"/>
        <v>38.597268101109385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-1.064108801074326E-13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482.28841373508675</v>
      </c>
      <c r="T179" s="59">
        <f t="shared" si="142"/>
        <v>746.97309214631684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48.642227387448223</v>
      </c>
      <c r="AA179" s="21">
        <f>EXP(-LN(2)/25)*AA178+(1-EXP(-LN(2)/25))/(LN(2)/25)*Calculateur!V179*Calculateur!X179*VLOOKUP('Données projet'!$B$9,Paramètres!$A$1:$I$89,3,0)*0.475*44/12</f>
        <v>4.8448705371205003</v>
      </c>
      <c r="AB179" s="21">
        <f>EXP(-LN(2)/2)*AB178+(1-EXP(-LN(2)/2))/(LN(2)/2)*V179*Y179*VLOOKUP('Données projet'!$B$9,Paramètres!$A$1:$I$89,3,0)*0.475*44/12</f>
        <v>7.298762874187684E-14</v>
      </c>
      <c r="AC179" s="22">
        <f t="shared" si="163"/>
        <v>53.487097924568793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-5.3205440053716299E-14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259.91478350500478</v>
      </c>
      <c r="AO179" s="59">
        <f t="shared" si="144"/>
        <v>192.27194887051007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52.809712133226505</v>
      </c>
      <c r="AV179" s="21">
        <f>EXP(-LN(2)/25)*AV178+(1-EXP(-LN(2)/25))/(LN(2)/25)*Calculateur!AQ179*Calculateur!AS179*VLOOKUP('Données projet'!$B$10,Paramètres!$A$1:$I$89,3,0)*0.475*44/12</f>
        <v>6.5857065143562767</v>
      </c>
      <c r="AW179" s="21">
        <f>EXP(-LN(2)/2)*AW178+(1-EXP(-LN(2)/2))/(LN(2)/2)*AQ179*AT179*VLOOKUP('Données projet'!$B$10,Paramètres!$A$1:$I$89,3,0)*0.475*44/12</f>
        <v>1.735703736446908E-10</v>
      </c>
      <c r="AX179" s="21">
        <f t="shared" si="166"/>
        <v>59.395418647756351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-1.3596945791505279E-13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284.60021367910457</v>
      </c>
      <c r="BJ179" s="59">
        <f t="shared" si="146"/>
        <v>301.41905904220812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22.347303320675739</v>
      </c>
      <c r="BQ179" s="21">
        <f>EXP(-LN(2)/25)*BQ178+(1-EXP(-LN(2)/25))/(LN(2)/25)*Calculateur!BL179*Calculateur!BN179*VLOOKUP('Données projet'!$B$11,Paramètres!$A$1:$I$89,3,0)*0.475*44/12</f>
        <v>2.1487858464709455</v>
      </c>
      <c r="BR179" s="21">
        <f>EXP(-LN(2)/2)*BR178+(1-EXP(-LN(2)/2))/(LN(2)/2)*BL179*BO179*VLOOKUP('Données projet'!$B$11,Paramètres!$A$1:$I$89,3,0)*0.475*44/12</f>
        <v>9.866312696351035E-16</v>
      </c>
      <c r="BS179" s="22">
        <f t="shared" si="169"/>
        <v>24.496089167146685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-3.4106051316484809E-13</v>
      </c>
      <c r="BZ179" s="13">
        <f>BY179*VLOOKUP('Données projet'!$B$12,Paramètres!$A$1:$I$89,3,0)*VLOOKUP('Données projet'!$B$12,Paramètres!$A$1:$I$89,5,0)</f>
        <v>-1.9065282685915009E-13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490.96084572840579</v>
      </c>
      <c r="CE179" s="59">
        <f t="shared" si="148"/>
        <v>597.91658789908263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34.4273863353514</v>
      </c>
      <c r="CL179" s="21">
        <f>EXP(-LN(2)/25)*CL178+(1-EXP(-LN(2)/25))/(LN(2)/25)*Calculateur!CG179*Calculateur!CI179*VLOOKUP('Données projet'!$B$12,Paramètres!$A$1:$I$89,3,0)*0.475*44/12</f>
        <v>3.3860828836515022</v>
      </c>
      <c r="CM179" s="21">
        <f>EXP(-LN(2)/2)*CM178+(1-EXP(-LN(2)/2))/(LN(2)/2)*CG179*CJ179*VLOOKUP('Données projet'!$B$12,Paramètres!$A$1:$I$89,3,0)*0.475*44/12</f>
        <v>1.2740987987064611E-15</v>
      </c>
      <c r="CN179" s="22">
        <f t="shared" si="172"/>
        <v>37.813469219002904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-1.064108801074326E-13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482.28841373508675</v>
      </c>
      <c r="T180" s="59">
        <f t="shared" si="142"/>
        <v>746.97309214631684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47.688382977209514</v>
      </c>
      <c r="AA180" s="21">
        <f>EXP(-LN(2)/25)*AA179+(1-EXP(-LN(2)/25))/(LN(2)/25)*Calculateur!V180*Calculateur!X180*VLOOKUP('Données projet'!$B$9,Paramètres!$A$1:$I$89,3,0)*0.475*44/12</f>
        <v>4.7123872975022714</v>
      </c>
      <c r="AB180" s="21">
        <f>EXP(-LN(2)/2)*AB179+(1-EXP(-LN(2)/2))/(LN(2)/2)*V180*Y180*VLOOKUP('Données projet'!$B$9,Paramètres!$A$1:$I$89,3,0)*0.475*44/12</f>
        <v>5.1610047226107274E-14</v>
      </c>
      <c r="AC180" s="22">
        <f t="shared" si="163"/>
        <v>52.400770274711839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-5.3205440053716299E-14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259.91478350500478</v>
      </c>
      <c r="AO180" s="59">
        <f t="shared" si="144"/>
        <v>192.27194887051007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51.77414588903779</v>
      </c>
      <c r="AV180" s="21">
        <f>EXP(-LN(2)/25)*AV179+(1-EXP(-LN(2)/25))/(LN(2)/25)*Calculateur!AQ180*Calculateur!AS180*VLOOKUP('Données projet'!$B$10,Paramètres!$A$1:$I$89,3,0)*0.475*44/12</f>
        <v>6.4056200233939506</v>
      </c>
      <c r="AW180" s="21">
        <f>EXP(-LN(2)/2)*AW179+(1-EXP(-LN(2)/2))/(LN(2)/2)*AQ180*AT180*VLOOKUP('Données projet'!$B$10,Paramètres!$A$1:$I$89,3,0)*0.475*44/12</f>
        <v>1.2273278821724367E-10</v>
      </c>
      <c r="AX180" s="21">
        <f t="shared" si="166"/>
        <v>58.179765912554473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-1.3596945791505279E-13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284.60021367910457</v>
      </c>
      <c r="BJ180" s="59">
        <f t="shared" si="146"/>
        <v>301.41905904220812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21.909086333066412</v>
      </c>
      <c r="BQ180" s="21">
        <f>EXP(-LN(2)/25)*BQ179+(1-EXP(-LN(2)/25))/(LN(2)/25)*Calculateur!BL180*Calculateur!BN180*VLOOKUP('Données projet'!$B$11,Paramètres!$A$1:$I$89,3,0)*0.475*44/12</f>
        <v>2.0900271844994611</v>
      </c>
      <c r="BR180" s="21">
        <f>EXP(-LN(2)/2)*BR179+(1-EXP(-LN(2)/2))/(LN(2)/2)*BL180*BO180*VLOOKUP('Données projet'!$B$11,Paramètres!$A$1:$I$89,3,0)*0.475*44/12</f>
        <v>6.9765366128967471E-16</v>
      </c>
      <c r="BS180" s="22">
        <f t="shared" si="169"/>
        <v>23.999113517565874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-3.4106051316484809E-13</v>
      </c>
      <c r="BZ180" s="13">
        <f>BY180*VLOOKUP('Données projet'!$B$12,Paramètres!$A$1:$I$89,3,0)*VLOOKUP('Données projet'!$B$12,Paramètres!$A$1:$I$89,5,0)</f>
        <v>-1.9065282685915009E-13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490.96084572840579</v>
      </c>
      <c r="CE180" s="59">
        <f t="shared" si="148"/>
        <v>597.91658789908263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33.752286287947378</v>
      </c>
      <c r="CL180" s="21">
        <f>EXP(-LN(2)/25)*CL179+(1-EXP(-LN(2)/25))/(LN(2)/25)*Calculateur!CG180*Calculateur!CI180*VLOOKUP('Données projet'!$B$12,Paramètres!$A$1:$I$89,3,0)*0.475*44/12</f>
        <v>3.2934902691316918</v>
      </c>
      <c r="CM180" s="21">
        <f>EXP(-LN(2)/2)*CM179+(1-EXP(-LN(2)/2))/(LN(2)/2)*CG180*CJ180*VLOOKUP('Données projet'!$B$12,Paramètres!$A$1:$I$89,3,0)*0.475*44/12</f>
        <v>9.0092390046697266E-16</v>
      </c>
      <c r="CN180" s="22">
        <f t="shared" si="172"/>
        <v>37.045776557079073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-1.064108801074326E-13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482.28841373508675</v>
      </c>
      <c r="T181" s="59">
        <f t="shared" si="142"/>
        <v>746.97309214631684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46.753242874067944</v>
      </c>
      <c r="AA181" s="21">
        <f>EXP(-LN(2)/25)*AA180+(1-EXP(-LN(2)/25))/(LN(2)/25)*Calculateur!V181*Calculateur!X181*VLOOKUP('Données projet'!$B$9,Paramètres!$A$1:$I$89,3,0)*0.475*44/12</f>
        <v>4.5835268190383944</v>
      </c>
      <c r="AB181" s="21">
        <f>EXP(-LN(2)/2)*AB180+(1-EXP(-LN(2)/2))/(LN(2)/2)*V181*Y181*VLOOKUP('Données projet'!$B$9,Paramètres!$A$1:$I$89,3,0)*0.475*44/12</f>
        <v>3.649381437093842E-14</v>
      </c>
      <c r="AC181" s="22">
        <f t="shared" si="163"/>
        <v>51.336769693106376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-5.3205440053716299E-14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259.91478350500478</v>
      </c>
      <c r="AO181" s="59">
        <f t="shared" si="144"/>
        <v>192.27194887051007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50.758886467264574</v>
      </c>
      <c r="AV181" s="21">
        <f>EXP(-LN(2)/25)*AV180+(1-EXP(-LN(2)/25))/(LN(2)/25)*Calculateur!AQ181*Calculateur!AS181*VLOOKUP('Données projet'!$B$10,Paramètres!$A$1:$I$89,3,0)*0.475*44/12</f>
        <v>6.2304580069973259</v>
      </c>
      <c r="AW181" s="21">
        <f>EXP(-LN(2)/2)*AW180+(1-EXP(-LN(2)/2))/(LN(2)/2)*AQ181*AT181*VLOOKUP('Données projet'!$B$10,Paramètres!$A$1:$I$89,3,0)*0.475*44/12</f>
        <v>8.6785186822345398E-11</v>
      </c>
      <c r="AX181" s="21">
        <f t="shared" si="166"/>
        <v>56.989344474348684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-1.3596945791505279E-13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284.60021367910457</v>
      </c>
      <c r="BJ181" s="59">
        <f t="shared" si="146"/>
        <v>301.41905904220812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21.479462513298134</v>
      </c>
      <c r="BQ181" s="21">
        <f>EXP(-LN(2)/25)*BQ180+(1-EXP(-LN(2)/25))/(LN(2)/25)*Calculateur!BL181*Calculateur!BN181*VLOOKUP('Données projet'!$B$11,Paramètres!$A$1:$I$89,3,0)*0.475*44/12</f>
        <v>2.0328752812295705</v>
      </c>
      <c r="BR181" s="21">
        <f>EXP(-LN(2)/2)*BR180+(1-EXP(-LN(2)/2))/(LN(2)/2)*BL181*BO181*VLOOKUP('Données projet'!$B$11,Paramètres!$A$1:$I$89,3,0)*0.475*44/12</f>
        <v>4.9331563481755175E-16</v>
      </c>
      <c r="BS181" s="22">
        <f t="shared" si="169"/>
        <v>23.512337794527706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-3.4106051316484809E-13</v>
      </c>
      <c r="BZ181" s="13">
        <f>BY181*VLOOKUP('Données projet'!$B$12,Paramètres!$A$1:$I$89,3,0)*VLOOKUP('Données projet'!$B$12,Paramètres!$A$1:$I$89,5,0)</f>
        <v>-1.9065282685915009E-13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490.96084572840579</v>
      </c>
      <c r="CE181" s="59">
        <f t="shared" si="148"/>
        <v>597.91658789908263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33.090424540702578</v>
      </c>
      <c r="CL181" s="21">
        <f>EXP(-LN(2)/25)*CL180+(1-EXP(-LN(2)/25))/(LN(2)/25)*Calculateur!CG181*Calculateur!CI181*VLOOKUP('Données projet'!$B$12,Paramètres!$A$1:$I$89,3,0)*0.475*44/12</f>
        <v>3.20342960452516</v>
      </c>
      <c r="CM181" s="21">
        <f>EXP(-LN(2)/2)*CM180+(1-EXP(-LN(2)/2))/(LN(2)/2)*CG181*CJ181*VLOOKUP('Données projet'!$B$12,Paramètres!$A$1:$I$89,3,0)*0.475*44/12</f>
        <v>6.3704939935323057E-16</v>
      </c>
      <c r="CN181" s="22">
        <f t="shared" si="172"/>
        <v>36.293854145227741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-1.064108801074326E-13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482.28841373508675</v>
      </c>
      <c r="T182" s="59">
        <f t="shared" si="142"/>
        <v>746.97309214631684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45.836440297969837</v>
      </c>
      <c r="AA182" s="21">
        <f>EXP(-LN(2)/25)*AA181+(1-EXP(-LN(2)/25))/(LN(2)/25)*Calculateur!V182*Calculateur!X182*VLOOKUP('Données projet'!$B$9,Paramètres!$A$1:$I$89,3,0)*0.475*44/12</f>
        <v>4.4581900371345897</v>
      </c>
      <c r="AB182" s="21">
        <f>EXP(-LN(2)/2)*AB181+(1-EXP(-LN(2)/2))/(LN(2)/2)*V182*Y182*VLOOKUP('Données projet'!$B$9,Paramètres!$A$1:$I$89,3,0)*0.475*44/12</f>
        <v>2.5805023613053637E-14</v>
      </c>
      <c r="AC182" s="22">
        <f t="shared" si="163"/>
        <v>50.294630335104458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-5.3205440053716299E-14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259.91478350500478</v>
      </c>
      <c r="AO182" s="59">
        <f t="shared" si="144"/>
        <v>192.27194887051007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49.76353566350523</v>
      </c>
      <c r="AV182" s="21">
        <f>EXP(-LN(2)/25)*AV181+(1-EXP(-LN(2)/25))/(LN(2)/25)*Calculateur!AQ182*Calculateur!AS182*VLOOKUP('Données projet'!$B$10,Paramètres!$A$1:$I$89,3,0)*0.475*44/12</f>
        <v>6.0600858051504369</v>
      </c>
      <c r="AW182" s="21">
        <f>EXP(-LN(2)/2)*AW181+(1-EXP(-LN(2)/2))/(LN(2)/2)*AQ182*AT182*VLOOKUP('Données projet'!$B$10,Paramètres!$A$1:$I$89,3,0)*0.475*44/12</f>
        <v>6.1366394108621833E-11</v>
      </c>
      <c r="AX182" s="21">
        <f t="shared" si="166"/>
        <v>55.823621468717036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-1.3596945791505279E-13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284.60021367910457</v>
      </c>
      <c r="BJ182" s="59">
        <f t="shared" si="146"/>
        <v>301.41905904220812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21.058263354590856</v>
      </c>
      <c r="BQ182" s="21">
        <f>EXP(-LN(2)/25)*BQ181+(1-EXP(-LN(2)/25))/(LN(2)/25)*Calculateur!BL182*Calculateur!BN182*VLOOKUP('Données projet'!$B$11,Paramètres!$A$1:$I$89,3,0)*0.475*44/12</f>
        <v>1.977286199760083</v>
      </c>
      <c r="BR182" s="21">
        <f>EXP(-LN(2)/2)*BR181+(1-EXP(-LN(2)/2))/(LN(2)/2)*BL182*BO182*VLOOKUP('Données projet'!$B$11,Paramètres!$A$1:$I$89,3,0)*0.475*44/12</f>
        <v>3.4882683064483736E-16</v>
      </c>
      <c r="BS182" s="22">
        <f t="shared" si="169"/>
        <v>23.03554955435094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-3.4106051316484809E-13</v>
      </c>
      <c r="BZ182" s="13">
        <f>BY182*VLOOKUP('Données projet'!$B$12,Paramètres!$A$1:$I$89,3,0)*VLOOKUP('Données projet'!$B$12,Paramètres!$A$1:$I$89,5,0)</f>
        <v>-1.9065282685915009E-13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490.96084572840579</v>
      </c>
      <c r="CE182" s="59">
        <f t="shared" si="148"/>
        <v>597.91658789908263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32.441541498625448</v>
      </c>
      <c r="CL182" s="21">
        <f>EXP(-LN(2)/25)*CL181+(1-EXP(-LN(2)/25))/(LN(2)/25)*Calculateur!CG182*Calculateur!CI182*VLOOKUP('Données projet'!$B$12,Paramètres!$A$1:$I$89,3,0)*0.475*44/12</f>
        <v>3.1158316535283781</v>
      </c>
      <c r="CM182" s="21">
        <f>EXP(-LN(2)/2)*CM181+(1-EXP(-LN(2)/2))/(LN(2)/2)*CG182*CJ182*VLOOKUP('Données projet'!$B$12,Paramètres!$A$1:$I$89,3,0)*0.475*44/12</f>
        <v>4.5046195023348633E-16</v>
      </c>
      <c r="CN182" s="22">
        <f t="shared" si="172"/>
        <v>35.557373152153829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-1.064108801074326E-13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482.28841373508675</v>
      </c>
      <c r="T183" s="59">
        <f t="shared" si="142"/>
        <v>746.97309214631684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44.937615661194663</v>
      </c>
      <c r="AA183" s="21">
        <f>EXP(-LN(2)/25)*AA182+(1-EXP(-LN(2)/25))/(LN(2)/25)*Calculateur!V183*Calculateur!X183*VLOOKUP('Données projet'!$B$9,Paramètres!$A$1:$I$89,3,0)*0.475*44/12</f>
        <v>4.3362805961231192</v>
      </c>
      <c r="AB183" s="21">
        <f>EXP(-LN(2)/2)*AB182+(1-EXP(-LN(2)/2))/(LN(2)/2)*V183*Y183*VLOOKUP('Données projet'!$B$9,Paramètres!$A$1:$I$89,3,0)*0.475*44/12</f>
        <v>1.824690718546921E-14</v>
      </c>
      <c r="AC183" s="22">
        <f t="shared" si="163"/>
        <v>49.273896257317801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-5.3205440053716299E-14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259.91478350500478</v>
      </c>
      <c r="AO183" s="59">
        <f t="shared" si="144"/>
        <v>192.27194887051007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48.787703081903558</v>
      </c>
      <c r="AV183" s="21">
        <f>EXP(-LN(2)/25)*AV182+(1-EXP(-LN(2)/25))/(LN(2)/25)*Calculateur!AQ183*Calculateur!AS183*VLOOKUP('Données projet'!$B$10,Paramètres!$A$1:$I$89,3,0)*0.475*44/12</f>
        <v>5.8943724401225364</v>
      </c>
      <c r="AW183" s="21">
        <f>EXP(-LN(2)/2)*AW182+(1-EXP(-LN(2)/2))/(LN(2)/2)*AQ183*AT183*VLOOKUP('Données projet'!$B$10,Paramètres!$A$1:$I$89,3,0)*0.475*44/12</f>
        <v>4.3392593411172699E-11</v>
      </c>
      <c r="AX183" s="21">
        <f t="shared" si="166"/>
        <v>54.682075522069489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-1.3596945791505279E-13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284.60021367910457</v>
      </c>
      <c r="BJ183" s="59">
        <f t="shared" si="146"/>
        <v>301.41905904220812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20.645323654479711</v>
      </c>
      <c r="BQ183" s="21">
        <f>EXP(-LN(2)/25)*BQ182+(1-EXP(-LN(2)/25))/(LN(2)/25)*Calculateur!BL183*Calculateur!BN183*VLOOKUP('Données projet'!$B$11,Paramètres!$A$1:$I$89,3,0)*0.475*44/12</f>
        <v>1.9232172046466816</v>
      </c>
      <c r="BR183" s="21">
        <f>EXP(-LN(2)/2)*BR182+(1-EXP(-LN(2)/2))/(LN(2)/2)*BL183*BO183*VLOOKUP('Données projet'!$B$11,Paramètres!$A$1:$I$89,3,0)*0.475*44/12</f>
        <v>2.4665781740877588E-16</v>
      </c>
      <c r="BS183" s="22">
        <f t="shared" si="169"/>
        <v>22.568540859126394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-3.4106051316484809E-13</v>
      </c>
      <c r="BZ183" s="13">
        <f>BY183*VLOOKUP('Données projet'!$B$12,Paramètres!$A$1:$I$89,3,0)*VLOOKUP('Données projet'!$B$12,Paramètres!$A$1:$I$89,5,0)</f>
        <v>-1.9065282685915009E-13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490.96084572840579</v>
      </c>
      <c r="CE183" s="59">
        <f t="shared" si="148"/>
        <v>597.91658789908263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31.805382657223873</v>
      </c>
      <c r="CL183" s="21">
        <f>EXP(-LN(2)/25)*CL182+(1-EXP(-LN(2)/25))/(LN(2)/25)*Calculateur!CG183*Calculateur!CI183*VLOOKUP('Données projet'!$B$12,Paramètres!$A$1:$I$89,3,0)*0.475*44/12</f>
        <v>3.0306290731081793</v>
      </c>
      <c r="CM183" s="21">
        <f>EXP(-LN(2)/2)*CM182+(1-EXP(-LN(2)/2))/(LN(2)/2)*CG183*CJ183*VLOOKUP('Données projet'!$B$12,Paramètres!$A$1:$I$89,3,0)*0.475*44/12</f>
        <v>3.1852469967661529E-16</v>
      </c>
      <c r="CN183" s="22">
        <f t="shared" si="172"/>
        <v>34.836011730332054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-1.064108801074326E-13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482.28841373508675</v>
      </c>
      <c r="T184" s="59">
        <f t="shared" si="142"/>
        <v>746.97309214631684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44.05641642731775</v>
      </c>
      <c r="AA184" s="21">
        <f>EXP(-LN(2)/25)*AA183+(1-EXP(-LN(2)/25))/(LN(2)/25)*Calculateur!V184*Calculateur!X184*VLOOKUP('Données projet'!$B$9,Paramètres!$A$1:$I$89,3,0)*0.475*44/12</f>
        <v>4.2177047751870465</v>
      </c>
      <c r="AB184" s="21">
        <f>EXP(-LN(2)/2)*AB183+(1-EXP(-LN(2)/2))/(LN(2)/2)*V184*Y184*VLOOKUP('Données projet'!$B$9,Paramètres!$A$1:$I$89,3,0)*0.475*44/12</f>
        <v>1.2902511806526819E-14</v>
      </c>
      <c r="AC184" s="22">
        <f t="shared" si="163"/>
        <v>48.274121202504809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-5.3205440053716299E-14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259.91478350500478</v>
      </c>
      <c r="AO184" s="59">
        <f t="shared" si="144"/>
        <v>192.27194887051007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47.831005982027996</v>
      </c>
      <c r="AV184" s="21">
        <f>EXP(-LN(2)/25)*AV183+(1-EXP(-LN(2)/25))/(LN(2)/25)*Calculateur!AQ184*Calculateur!AS184*VLOOKUP('Données projet'!$B$10,Paramètres!$A$1:$I$89,3,0)*0.475*44/12</f>
        <v>5.733190515775811</v>
      </c>
      <c r="AW184" s="21">
        <f>EXP(-LN(2)/2)*AW183+(1-EXP(-LN(2)/2))/(LN(2)/2)*AQ184*AT184*VLOOKUP('Données projet'!$B$10,Paramètres!$A$1:$I$89,3,0)*0.475*44/12</f>
        <v>3.0683197054310916E-11</v>
      </c>
      <c r="AX184" s="21">
        <f t="shared" si="166"/>
        <v>53.564196497834487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-1.3596945791505279E-13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284.60021367910457</v>
      </c>
      <c r="BJ184" s="59">
        <f t="shared" si="146"/>
        <v>301.41905904220812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20.240481450019395</v>
      </c>
      <c r="BQ184" s="21">
        <f>EXP(-LN(2)/25)*BQ183+(1-EXP(-LN(2)/25))/(LN(2)/25)*Calculateur!BL184*Calculateur!BN184*VLOOKUP('Données projet'!$B$11,Paramètres!$A$1:$I$89,3,0)*0.475*44/12</f>
        <v>1.8706267290480207</v>
      </c>
      <c r="BR184" s="21">
        <f>EXP(-LN(2)/2)*BR183+(1-EXP(-LN(2)/2))/(LN(2)/2)*BL184*BO184*VLOOKUP('Données projet'!$B$11,Paramètres!$A$1:$I$89,3,0)*0.475*44/12</f>
        <v>1.7441341532241868E-16</v>
      </c>
      <c r="BS184" s="22">
        <f t="shared" si="169"/>
        <v>22.111108179067415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-3.4106051316484809E-13</v>
      </c>
      <c r="BZ184" s="13">
        <f>BY184*VLOOKUP('Données projet'!$B$12,Paramètres!$A$1:$I$89,3,0)*VLOOKUP('Données projet'!$B$12,Paramètres!$A$1:$I$89,5,0)</f>
        <v>-1.9065282685915009E-13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490.96084572840579</v>
      </c>
      <c r="CE184" s="59">
        <f t="shared" si="148"/>
        <v>597.91658789908263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31.181698502683606</v>
      </c>
      <c r="CL184" s="21">
        <f>EXP(-LN(2)/25)*CL183+(1-EXP(-LN(2)/25))/(LN(2)/25)*Calculateur!CG184*Calculateur!CI184*VLOOKUP('Données projet'!$B$12,Paramètres!$A$1:$I$89,3,0)*0.475*44/12</f>
        <v>2.9477563617301796</v>
      </c>
      <c r="CM184" s="21">
        <f>EXP(-LN(2)/2)*CM183+(1-EXP(-LN(2)/2))/(LN(2)/2)*CG184*CJ184*VLOOKUP('Données projet'!$B$12,Paramètres!$A$1:$I$89,3,0)*0.475*44/12</f>
        <v>2.2523097511674317E-16</v>
      </c>
      <c r="CN184" s="22">
        <f t="shared" si="172"/>
        <v>34.129454864413788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-1.064108801074326E-13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482.28841373508675</v>
      </c>
      <c r="T185" s="59">
        <f t="shared" si="142"/>
        <v>746.97309214631684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43.192496972938706</v>
      </c>
      <c r="AA185" s="21">
        <f>EXP(-LN(2)/25)*AA184+(1-EXP(-LN(2)/25))/(LN(2)/25)*Calculateur!V185*Calculateur!X185*VLOOKUP('Données projet'!$B$9,Paramètres!$A$1:$I$89,3,0)*0.475*44/12</f>
        <v>4.1023714163101026</v>
      </c>
      <c r="AB185" s="21">
        <f>EXP(-LN(2)/2)*AB184+(1-EXP(-LN(2)/2))/(LN(2)/2)*V185*Y185*VLOOKUP('Données projet'!$B$9,Paramètres!$A$1:$I$89,3,0)*0.475*44/12</f>
        <v>9.123453592734605E-15</v>
      </c>
      <c r="AC185" s="22">
        <f t="shared" si="163"/>
        <v>47.294868389248812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-5.3205440053716299E-14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259.91478350500478</v>
      </c>
      <c r="AO185" s="59">
        <f t="shared" si="144"/>
        <v>192.27194887051007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46.893069128753382</v>
      </c>
      <c r="AV185" s="21">
        <f>EXP(-LN(2)/25)*AV184+(1-EXP(-LN(2)/25))/(LN(2)/25)*Calculateur!AQ185*Calculateur!AS185*VLOOKUP('Données projet'!$B$10,Paramètres!$A$1:$I$89,3,0)*0.475*44/12</f>
        <v>5.5764161196265354</v>
      </c>
      <c r="AW185" s="21">
        <f>EXP(-LN(2)/2)*AW184+(1-EXP(-LN(2)/2))/(LN(2)/2)*AQ185*AT185*VLOOKUP('Données projet'!$B$10,Paramètres!$A$1:$I$89,3,0)*0.475*44/12</f>
        <v>2.1696296705586349E-11</v>
      </c>
      <c r="AX185" s="21">
        <f t="shared" si="166"/>
        <v>52.469485248401611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-1.3596945791505279E-13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284.60021367910457</v>
      </c>
      <c r="BJ185" s="59">
        <f t="shared" si="146"/>
        <v>301.41905904220812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19.843577954259185</v>
      </c>
      <c r="BQ185" s="21">
        <f>EXP(-LN(2)/25)*BQ184+(1-EXP(-LN(2)/25))/(LN(2)/25)*Calculateur!BL185*Calculateur!BN185*VLOOKUP('Données projet'!$B$11,Paramètres!$A$1:$I$89,3,0)*0.475*44/12</f>
        <v>1.8194743427702182</v>
      </c>
      <c r="BR185" s="21">
        <f>EXP(-LN(2)/2)*BR184+(1-EXP(-LN(2)/2))/(LN(2)/2)*BL185*BO185*VLOOKUP('Données projet'!$B$11,Paramètres!$A$1:$I$89,3,0)*0.475*44/12</f>
        <v>1.2332890870438794E-16</v>
      </c>
      <c r="BS185" s="22">
        <f t="shared" si="169"/>
        <v>21.663052297029402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-3.4106051316484809E-13</v>
      </c>
      <c r="BZ185" s="13">
        <f>BY185*VLOOKUP('Données projet'!$B$12,Paramètres!$A$1:$I$89,3,0)*VLOOKUP('Données projet'!$B$12,Paramètres!$A$1:$I$89,5,0)</f>
        <v>-1.9065282685915009E-13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490.96084572840579</v>
      </c>
      <c r="CE185" s="59">
        <f t="shared" si="148"/>
        <v>597.91658789908263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30.570244414004101</v>
      </c>
      <c r="CL185" s="21">
        <f>EXP(-LN(2)/25)*CL184+(1-EXP(-LN(2)/25))/(LN(2)/25)*Calculateur!CG185*Calculateur!CI185*VLOOKUP('Données projet'!$B$12,Paramètres!$A$1:$I$89,3,0)*0.475*44/12</f>
        <v>2.867149809002898</v>
      </c>
      <c r="CM185" s="21">
        <f>EXP(-LN(2)/2)*CM184+(1-EXP(-LN(2)/2))/(LN(2)/2)*CG185*CJ185*VLOOKUP('Données projet'!$B$12,Paramètres!$A$1:$I$89,3,0)*0.475*44/12</f>
        <v>1.5926234983830764E-16</v>
      </c>
      <c r="CN185" s="22">
        <f t="shared" si="172"/>
        <v>33.437394223006997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-1.064108801074326E-13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482.28841373508675</v>
      </c>
      <c r="T186" s="59">
        <f t="shared" si="142"/>
        <v>746.97309214631684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42.345518452121198</v>
      </c>
      <c r="AA186" s="21">
        <f>EXP(-LN(2)/25)*AA185+(1-EXP(-LN(2)/25))/(LN(2)/25)*Calculateur!V186*Calculateur!X186*VLOOKUP('Données projet'!$B$9,Paramètres!$A$1:$I$89,3,0)*0.475*44/12</f>
        <v>3.990191854196766</v>
      </c>
      <c r="AB186" s="21">
        <f>EXP(-LN(2)/2)*AB185+(1-EXP(-LN(2)/2))/(LN(2)/2)*V186*Y186*VLOOKUP('Données projet'!$B$9,Paramètres!$A$1:$I$89,3,0)*0.475*44/12</f>
        <v>6.4512559032634093E-15</v>
      </c>
      <c r="AC186" s="22">
        <f t="shared" si="163"/>
        <v>46.335710306317971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-5.3205440053716299E-14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259.91478350500478</v>
      </c>
      <c r="AO186" s="59">
        <f t="shared" si="144"/>
        <v>192.27194887051007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45.973524645086492</v>
      </c>
      <c r="AV186" s="21">
        <f>EXP(-LN(2)/25)*AV185+(1-EXP(-LN(2)/25))/(LN(2)/25)*Calculateur!AQ186*Calculateur!AS186*VLOOKUP('Données projet'!$B$10,Paramètres!$A$1:$I$89,3,0)*0.475*44/12</f>
        <v>5.4239287275843688</v>
      </c>
      <c r="AW186" s="21">
        <f>EXP(-LN(2)/2)*AW185+(1-EXP(-LN(2)/2))/(LN(2)/2)*AQ186*AT186*VLOOKUP('Données projet'!$B$10,Paramètres!$A$1:$I$89,3,0)*0.475*44/12</f>
        <v>1.5341598527155458E-11</v>
      </c>
      <c r="AX186" s="21">
        <f t="shared" si="166"/>
        <v>51.397453372686201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-1.3596945791505279E-13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284.60021367910457</v>
      </c>
      <c r="BJ186" s="59">
        <f t="shared" si="146"/>
        <v>301.41905904220812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19.454457493963606</v>
      </c>
      <c r="BQ186" s="21">
        <f>EXP(-LN(2)/25)*BQ185+(1-EXP(-LN(2)/25))/(LN(2)/25)*Calculateur!BL186*Calculateur!BN186*VLOOKUP('Données projet'!$B$11,Paramètres!$A$1:$I$89,3,0)*0.475*44/12</f>
        <v>1.7697207211851693</v>
      </c>
      <c r="BR186" s="21">
        <f>EXP(-LN(2)/2)*BR185+(1-EXP(-LN(2)/2))/(LN(2)/2)*BL186*BO186*VLOOKUP('Données projet'!$B$11,Paramètres!$A$1:$I$89,3,0)*0.475*44/12</f>
        <v>8.7206707661209339E-17</v>
      </c>
      <c r="BS186" s="22">
        <f t="shared" si="169"/>
        <v>21.224178215148775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-3.4106051316484809E-13</v>
      </c>
      <c r="BZ186" s="13">
        <f>BY186*VLOOKUP('Données projet'!$B$12,Paramètres!$A$1:$I$89,3,0)*VLOOKUP('Données projet'!$B$12,Paramètres!$A$1:$I$89,5,0)</f>
        <v>-1.9065282685915009E-13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490.96084572840579</v>
      </c>
      <c r="CE186" s="59">
        <f t="shared" si="148"/>
        <v>597.91658789908263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29.970780567053431</v>
      </c>
      <c r="CL186" s="21">
        <f>EXP(-LN(2)/25)*CL185+(1-EXP(-LN(2)/25))/(LN(2)/25)*Calculateur!CG186*Calculateur!CI186*VLOOKUP('Données projet'!$B$12,Paramètres!$A$1:$I$89,3,0)*0.475*44/12</f>
        <v>2.7887474466988582</v>
      </c>
      <c r="CM186" s="21">
        <f>EXP(-LN(2)/2)*CM185+(1-EXP(-LN(2)/2))/(LN(2)/2)*CG186*CJ186*VLOOKUP('Données projet'!$B$12,Paramètres!$A$1:$I$89,3,0)*0.475*44/12</f>
        <v>1.1261548755837158E-16</v>
      </c>
      <c r="CN186" s="22">
        <f t="shared" si="172"/>
        <v>32.759528013752288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-1.064108801074326E-13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482.28841373508675</v>
      </c>
      <c r="T187" s="59">
        <f t="shared" si="142"/>
        <v>746.97309214631684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41.515148663491033</v>
      </c>
      <c r="AA187" s="21">
        <f>EXP(-LN(2)/25)*AA186+(1-EXP(-LN(2)/25))/(LN(2)/25)*Calculateur!V187*Calculateur!X187*VLOOKUP('Données projet'!$B$9,Paramètres!$A$1:$I$89,3,0)*0.475*44/12</f>
        <v>3.8810798481086857</v>
      </c>
      <c r="AB187" s="21">
        <f>EXP(-LN(2)/2)*AB186+(1-EXP(-LN(2)/2))/(LN(2)/2)*V187*Y187*VLOOKUP('Données projet'!$B$9,Paramètres!$A$1:$I$89,3,0)*0.475*44/12</f>
        <v>4.5617267963673025E-15</v>
      </c>
      <c r="AC187" s="22">
        <f t="shared" si="163"/>
        <v>45.396228511599723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-5.3205440053716299E-14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259.91478350500478</v>
      </c>
      <c r="AO187" s="59">
        <f t="shared" si="144"/>
        <v>192.27194887051007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45.072011867877549</v>
      </c>
      <c r="AV187" s="21">
        <f>EXP(-LN(2)/25)*AV186+(1-EXP(-LN(2)/25))/(LN(2)/25)*Calculateur!AQ187*Calculateur!AS187*VLOOKUP('Données projet'!$B$10,Paramètres!$A$1:$I$89,3,0)*0.475*44/12</f>
        <v>5.2756111112965591</v>
      </c>
      <c r="AW187" s="21">
        <f>EXP(-LN(2)/2)*AW186+(1-EXP(-LN(2)/2))/(LN(2)/2)*AQ187*AT187*VLOOKUP('Données projet'!$B$10,Paramètres!$A$1:$I$89,3,0)*0.475*44/12</f>
        <v>1.0848148352793175E-11</v>
      </c>
      <c r="AX187" s="21">
        <f t="shared" si="166"/>
        <v>50.347622979184955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-1.3596945791505279E-13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284.60021367910457</v>
      </c>
      <c r="BJ187" s="59">
        <f t="shared" si="146"/>
        <v>301.41905904220812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19.072967448554376</v>
      </c>
      <c r="BQ187" s="21">
        <f>EXP(-LN(2)/25)*BQ186+(1-EXP(-LN(2)/25))/(LN(2)/25)*Calculateur!BL187*Calculateur!BN187*VLOOKUP('Données projet'!$B$11,Paramètres!$A$1:$I$89,3,0)*0.475*44/12</f>
        <v>1.7213276149987928</v>
      </c>
      <c r="BR187" s="21">
        <f>EXP(-LN(2)/2)*BR186+(1-EXP(-LN(2)/2))/(LN(2)/2)*BL187*BO187*VLOOKUP('Données projet'!$B$11,Paramètres!$A$1:$I$89,3,0)*0.475*44/12</f>
        <v>6.1664454352193969E-17</v>
      </c>
      <c r="BS187" s="22">
        <f t="shared" si="169"/>
        <v>20.794295063553168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-3.4106051316484809E-13</v>
      </c>
      <c r="BZ187" s="13">
        <f>BY187*VLOOKUP('Données projet'!$B$12,Paramètres!$A$1:$I$89,3,0)*VLOOKUP('Données projet'!$B$12,Paramètres!$A$1:$I$89,5,0)</f>
        <v>-1.9065282685915009E-13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490.96084572840579</v>
      </c>
      <c r="CE187" s="59">
        <f t="shared" si="148"/>
        <v>597.91658789908263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29.383071840504623</v>
      </c>
      <c r="CL187" s="21">
        <f>EXP(-LN(2)/25)*CL186+(1-EXP(-LN(2)/25))/(LN(2)/25)*Calculateur!CG187*Calculateur!CI187*VLOOKUP('Données projet'!$B$12,Paramètres!$A$1:$I$89,3,0)*0.475*44/12</f>
        <v>2.7124890011150233</v>
      </c>
      <c r="CM187" s="21">
        <f>EXP(-LN(2)/2)*CM186+(1-EXP(-LN(2)/2))/(LN(2)/2)*CG187*CJ187*VLOOKUP('Données projet'!$B$12,Paramètres!$A$1:$I$89,3,0)*0.475*44/12</f>
        <v>7.9631174919153822E-17</v>
      </c>
      <c r="CN187" s="22">
        <f t="shared" si="172"/>
        <v>32.095560841619644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-1.064108801074326E-13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482.28841373508675</v>
      </c>
      <c r="T188" s="59">
        <f t="shared" si="142"/>
        <v>746.97309214631684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40.701061919940344</v>
      </c>
      <c r="AA188" s="21">
        <f>EXP(-LN(2)/25)*AA187+(1-EXP(-LN(2)/25))/(LN(2)/25)*Calculateur!V188*Calculateur!X188*VLOOKUP('Données projet'!$B$9,Paramètres!$A$1:$I$89,3,0)*0.475*44/12</f>
        <v>3.7749515155650348</v>
      </c>
      <c r="AB188" s="21">
        <f>EXP(-LN(2)/2)*AB187+(1-EXP(-LN(2)/2))/(LN(2)/2)*V188*Y188*VLOOKUP('Données projet'!$B$9,Paramètres!$A$1:$I$89,3,0)*0.475*44/12</f>
        <v>3.2256279516317046E-15</v>
      </c>
      <c r="AC188" s="22">
        <f t="shared" si="163"/>
        <v>44.476013435505379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-5.3205440053716299E-14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259.91478350500478</v>
      </c>
      <c r="AO188" s="59">
        <f t="shared" si="144"/>
        <v>192.27194887051007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44.188177206361175</v>
      </c>
      <c r="AV188" s="21">
        <f>EXP(-LN(2)/25)*AV187+(1-EXP(-LN(2)/25))/(LN(2)/25)*Calculateur!AQ188*Calculateur!AS188*VLOOKUP('Données projet'!$B$10,Paramètres!$A$1:$I$89,3,0)*0.475*44/12</f>
        <v>5.131349248025824</v>
      </c>
      <c r="AW188" s="21">
        <f>EXP(-LN(2)/2)*AW187+(1-EXP(-LN(2)/2))/(LN(2)/2)*AQ188*AT188*VLOOKUP('Données projet'!$B$10,Paramètres!$A$1:$I$89,3,0)*0.475*44/12</f>
        <v>7.6707992635777291E-12</v>
      </c>
      <c r="AX188" s="21">
        <f t="shared" si="166"/>
        <v>49.319526454394676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-1.3596945791505279E-13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284.60021367910457</v>
      </c>
      <c r="BJ188" s="59">
        <f t="shared" si="146"/>
        <v>301.41905904220812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18.69895819024967</v>
      </c>
      <c r="BQ188" s="21">
        <f>EXP(-LN(2)/25)*BQ187+(1-EXP(-LN(2)/25))/(LN(2)/25)*Calculateur!BL188*Calculateur!BN188*VLOOKUP('Données projet'!$B$11,Paramètres!$A$1:$I$89,3,0)*0.475*44/12</f>
        <v>1.6742578208459657</v>
      </c>
      <c r="BR188" s="21">
        <f>EXP(-LN(2)/2)*BR187+(1-EXP(-LN(2)/2))/(LN(2)/2)*BL188*BO188*VLOOKUP('Données projet'!$B$11,Paramètres!$A$1:$I$89,3,0)*0.475*44/12</f>
        <v>4.3603353830604669E-17</v>
      </c>
      <c r="BS188" s="22">
        <f t="shared" si="169"/>
        <v>20.373216011095636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-3.4106051316484809E-13</v>
      </c>
      <c r="BZ188" s="13">
        <f>BY188*VLOOKUP('Données projet'!$B$12,Paramètres!$A$1:$I$89,3,0)*VLOOKUP('Données projet'!$B$12,Paramètres!$A$1:$I$89,5,0)</f>
        <v>-1.9065282685915009E-13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490.96084572840579</v>
      </c>
      <c r="CE188" s="59">
        <f t="shared" si="148"/>
        <v>597.91658789908263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28.806887723616509</v>
      </c>
      <c r="CL188" s="21">
        <f>EXP(-LN(2)/25)*CL187+(1-EXP(-LN(2)/25))/(LN(2)/25)*Calculateur!CG188*Calculateur!CI188*VLOOKUP('Données projet'!$B$12,Paramètres!$A$1:$I$89,3,0)*0.475*44/12</f>
        <v>2.638315846735936</v>
      </c>
      <c r="CM188" s="21">
        <f>EXP(-LN(2)/2)*CM187+(1-EXP(-LN(2)/2))/(LN(2)/2)*CG188*CJ188*VLOOKUP('Données projet'!$B$12,Paramètres!$A$1:$I$89,3,0)*0.475*44/12</f>
        <v>5.6307743779185791E-17</v>
      </c>
      <c r="CN188" s="22">
        <f t="shared" si="172"/>
        <v>31.445203570352444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-1.064108801074326E-13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482.28841373508675</v>
      </c>
      <c r="T189" s="59">
        <f t="shared" si="142"/>
        <v>746.97309214631684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39.902938920886797</v>
      </c>
      <c r="AA189" s="21">
        <f>EXP(-LN(2)/25)*AA188+(1-EXP(-LN(2)/25))/(LN(2)/25)*Calculateur!V189*Calculateur!X189*VLOOKUP('Données projet'!$B$9,Paramètres!$A$1:$I$89,3,0)*0.475*44/12</f>
        <v>3.6717252678558365</v>
      </c>
      <c r="AB189" s="21">
        <f>EXP(-LN(2)/2)*AB188+(1-EXP(-LN(2)/2))/(LN(2)/2)*V189*Y189*VLOOKUP('Données projet'!$B$9,Paramètres!$A$1:$I$89,3,0)*0.475*44/12</f>
        <v>2.2808633981836512E-15</v>
      </c>
      <c r="AC189" s="22">
        <f t="shared" si="163"/>
        <v>43.574664188742631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-5.3205440053716299E-14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259.91478350500478</v>
      </c>
      <c r="AO189" s="59">
        <f t="shared" si="144"/>
        <v>192.27194887051007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43.321674003471223</v>
      </c>
      <c r="AV189" s="21">
        <f>EXP(-LN(2)/25)*AV188+(1-EXP(-LN(2)/25))/(LN(2)/25)*Calculateur!AQ189*Calculateur!AS189*VLOOKUP('Données projet'!$B$10,Paramètres!$A$1:$I$89,3,0)*0.475*44/12</f>
        <v>4.9910322329926284</v>
      </c>
      <c r="AW189" s="21">
        <f>EXP(-LN(2)/2)*AW188+(1-EXP(-LN(2)/2))/(LN(2)/2)*AQ189*AT189*VLOOKUP('Données projet'!$B$10,Paramètres!$A$1:$I$89,3,0)*0.475*44/12</f>
        <v>5.4240741763965873E-12</v>
      </c>
      <c r="AX189" s="21">
        <f t="shared" si="166"/>
        <v>48.312706236469275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-1.3596945791505279E-13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284.60021367910457</v>
      </c>
      <c r="BJ189" s="59">
        <f t="shared" si="146"/>
        <v>301.41905904220812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18.332283025377198</v>
      </c>
      <c r="BQ189" s="21">
        <f>EXP(-LN(2)/25)*BQ188+(1-EXP(-LN(2)/25))/(LN(2)/25)*Calculateur!BL189*Calculateur!BN189*VLOOKUP('Données projet'!$B$11,Paramètres!$A$1:$I$89,3,0)*0.475*44/12</f>
        <v>1.6284751526895407</v>
      </c>
      <c r="BR189" s="21">
        <f>EXP(-LN(2)/2)*BR188+(1-EXP(-LN(2)/2))/(LN(2)/2)*BL189*BO189*VLOOKUP('Données projet'!$B$11,Paramètres!$A$1:$I$89,3,0)*0.475*44/12</f>
        <v>3.0832227176096984E-17</v>
      </c>
      <c r="BS189" s="22">
        <f t="shared" si="169"/>
        <v>19.960758178066737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-3.4106051316484809E-13</v>
      </c>
      <c r="BZ189" s="13">
        <f>BY189*VLOOKUP('Données projet'!$B$12,Paramètres!$A$1:$I$89,3,0)*VLOOKUP('Données projet'!$B$12,Paramètres!$A$1:$I$89,5,0)</f>
        <v>-1.9065282685915009E-13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490.96084572840579</v>
      </c>
      <c r="CE189" s="59">
        <f t="shared" si="148"/>
        <v>597.91658789908263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28.242002225822961</v>
      </c>
      <c r="CL189" s="21">
        <f>EXP(-LN(2)/25)*CL188+(1-EXP(-LN(2)/25))/(LN(2)/25)*Calculateur!CG189*Calculateur!CI189*VLOOKUP('Données projet'!$B$12,Paramètres!$A$1:$I$89,3,0)*0.475*44/12</f>
        <v>2.5661709611639414</v>
      </c>
      <c r="CM189" s="21">
        <f>EXP(-LN(2)/2)*CM188+(1-EXP(-LN(2)/2))/(LN(2)/2)*CG189*CJ189*VLOOKUP('Données projet'!$B$12,Paramètres!$A$1:$I$89,3,0)*0.475*44/12</f>
        <v>3.9815587459576911E-17</v>
      </c>
      <c r="CN189" s="22">
        <f t="shared" si="172"/>
        <v>30.808173186986902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-1.064108801074326E-13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482.28841373508675</v>
      </c>
      <c r="T190" s="59">
        <f t="shared" si="142"/>
        <v>746.97309214631684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39.120466627037729</v>
      </c>
      <c r="AA190" s="21">
        <f>EXP(-LN(2)/25)*AA189+(1-EXP(-LN(2)/25))/(LN(2)/25)*Calculateur!V190*Calculateur!X190*VLOOKUP('Données projet'!$B$9,Paramètres!$A$1:$I$89,3,0)*0.475*44/12</f>
        <v>3.5713217473186787</v>
      </c>
      <c r="AB190" s="21">
        <f>EXP(-LN(2)/2)*AB189+(1-EXP(-LN(2)/2))/(LN(2)/2)*V190*Y190*VLOOKUP('Données projet'!$B$9,Paramètres!$A$1:$I$89,3,0)*0.475*44/12</f>
        <v>1.6128139758158523E-15</v>
      </c>
      <c r="AC190" s="22">
        <f t="shared" si="163"/>
        <v>42.691788374356406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-5.3205440053716299E-14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259.91478350500478</v>
      </c>
      <c r="AO190" s="59">
        <f t="shared" si="144"/>
        <v>192.27194887051007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42.472162399875181</v>
      </c>
      <c r="AV190" s="21">
        <f>EXP(-LN(2)/25)*AV189+(1-EXP(-LN(2)/25))/(LN(2)/25)*Calculateur!AQ190*Calculateur!AS190*VLOOKUP('Données projet'!$B$10,Paramètres!$A$1:$I$89,3,0)*0.475*44/12</f>
        <v>4.8545521941144667</v>
      </c>
      <c r="AW190" s="21">
        <f>EXP(-LN(2)/2)*AW189+(1-EXP(-LN(2)/2))/(LN(2)/2)*AQ190*AT190*VLOOKUP('Données projet'!$B$10,Paramètres!$A$1:$I$89,3,0)*0.475*44/12</f>
        <v>3.8353996317888645E-12</v>
      </c>
      <c r="AX190" s="21">
        <f t="shared" si="166"/>
        <v>47.326714593993486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-1.3596945791505279E-13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284.60021367910457</v>
      </c>
      <c r="BJ190" s="59">
        <f t="shared" si="146"/>
        <v>301.41905904220812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17.972798136838104</v>
      </c>
      <c r="BQ190" s="21">
        <f>EXP(-LN(2)/25)*BQ189+(1-EXP(-LN(2)/25))/(LN(2)/25)*Calculateur!BL190*Calculateur!BN190*VLOOKUP('Données projet'!$B$11,Paramètres!$A$1:$I$89,3,0)*0.475*44/12</f>
        <v>1.5839444140014589</v>
      </c>
      <c r="BR190" s="21">
        <f>EXP(-LN(2)/2)*BR189+(1-EXP(-LN(2)/2))/(LN(2)/2)*BL190*BO190*VLOOKUP('Données projet'!$B$11,Paramètres!$A$1:$I$89,3,0)*0.475*44/12</f>
        <v>2.1801676915302335E-17</v>
      </c>
      <c r="BS190" s="22">
        <f t="shared" si="169"/>
        <v>19.556742550839562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-3.4106051316484809E-13</v>
      </c>
      <c r="BZ190" s="13">
        <f>BY190*VLOOKUP('Données projet'!$B$12,Paramètres!$A$1:$I$89,3,0)*VLOOKUP('Données projet'!$B$12,Paramètres!$A$1:$I$89,5,0)</f>
        <v>-1.9065282685915009E-13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490.96084572840579</v>
      </c>
      <c r="CE190" s="59">
        <f t="shared" si="148"/>
        <v>597.91658789908263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27.688193788095013</v>
      </c>
      <c r="CL190" s="21">
        <f>EXP(-LN(2)/25)*CL189+(1-EXP(-LN(2)/25))/(LN(2)/25)*Calculateur!CG190*Calculateur!CI190*VLOOKUP('Données projet'!$B$12,Paramètres!$A$1:$I$89,3,0)*0.475*44/12</f>
        <v>2.4959988812818477</v>
      </c>
      <c r="CM190" s="21">
        <f>EXP(-LN(2)/2)*CM189+(1-EXP(-LN(2)/2))/(LN(2)/2)*CG190*CJ190*VLOOKUP('Données projet'!$B$12,Paramètres!$A$1:$I$89,3,0)*0.475*44/12</f>
        <v>2.8153871889592896E-17</v>
      </c>
      <c r="CN190" s="22">
        <f t="shared" si="172"/>
        <v>30.184192669376863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-1.064108801074326E-13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482.28841373508675</v>
      </c>
      <c r="T191" s="59">
        <f t="shared" si="142"/>
        <v>746.97309214631684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38.353338137610073</v>
      </c>
      <c r="AA191" s="21">
        <f>EXP(-LN(2)/25)*AA190+(1-EXP(-LN(2)/25))/(LN(2)/25)*Calculateur!V191*Calculateur!X191*VLOOKUP('Données projet'!$B$9,Paramètres!$A$1:$I$89,3,0)*0.475*44/12</f>
        <v>3.4736637663306009</v>
      </c>
      <c r="AB191" s="21">
        <f>EXP(-LN(2)/2)*AB190+(1-EXP(-LN(2)/2))/(LN(2)/2)*V191*Y191*VLOOKUP('Données projet'!$B$9,Paramètres!$A$1:$I$89,3,0)*0.475*44/12</f>
        <v>1.1404316990918256E-15</v>
      </c>
      <c r="AC191" s="22">
        <f t="shared" si="163"/>
        <v>41.827001903940676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-5.3205440053716299E-14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259.91478350500478</v>
      </c>
      <c r="AO191" s="59">
        <f t="shared" si="144"/>
        <v>192.27194887051007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41.639309200674738</v>
      </c>
      <c r="AV191" s="21">
        <f>EXP(-LN(2)/25)*AV190+(1-EXP(-LN(2)/25))/(LN(2)/25)*Calculateur!AQ191*Calculateur!AS191*VLOOKUP('Données projet'!$B$10,Paramètres!$A$1:$I$89,3,0)*0.475*44/12</f>
        <v>4.7218042090766019</v>
      </c>
      <c r="AW191" s="21">
        <f>EXP(-LN(2)/2)*AW190+(1-EXP(-LN(2)/2))/(LN(2)/2)*AQ191*AT191*VLOOKUP('Données projet'!$B$10,Paramètres!$A$1:$I$89,3,0)*0.475*44/12</f>
        <v>2.7120370881982937E-12</v>
      </c>
      <c r="AX191" s="21">
        <f t="shared" si="166"/>
        <v>46.361113409754054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-1.3596945791505279E-13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284.60021367910457</v>
      </c>
      <c r="BJ191" s="59">
        <f t="shared" si="146"/>
        <v>301.41905904220812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17.620362527699132</v>
      </c>
      <c r="BQ191" s="21">
        <f>EXP(-LN(2)/25)*BQ190+(1-EXP(-LN(2)/25))/(LN(2)/25)*Calculateur!BL191*Calculateur!BN191*VLOOKUP('Données projet'!$B$11,Paramètres!$A$1:$I$89,3,0)*0.475*44/12</f>
        <v>1.5406313707045725</v>
      </c>
      <c r="BR191" s="21">
        <f>EXP(-LN(2)/2)*BR190+(1-EXP(-LN(2)/2))/(LN(2)/2)*BL191*BO191*VLOOKUP('Données projet'!$B$11,Paramètres!$A$1:$I$89,3,0)*0.475*44/12</f>
        <v>1.5416113588048492E-17</v>
      </c>
      <c r="BS191" s="22">
        <f t="shared" si="169"/>
        <v>19.160993898403706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-3.4106051316484809E-13</v>
      </c>
      <c r="BZ191" s="13">
        <f>BY191*VLOOKUP('Données projet'!$B$12,Paramètres!$A$1:$I$89,3,0)*VLOOKUP('Données projet'!$B$12,Paramètres!$A$1:$I$89,5,0)</f>
        <v>-1.9065282685915009E-13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490.96084572840579</v>
      </c>
      <c r="CE191" s="59">
        <f t="shared" si="148"/>
        <v>597.91658789908263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27.145245196041117</v>
      </c>
      <c r="CL191" s="21">
        <f>EXP(-LN(2)/25)*CL190+(1-EXP(-LN(2)/25))/(LN(2)/25)*Calculateur!CG191*Calculateur!CI191*VLOOKUP('Données projet'!$B$12,Paramètres!$A$1:$I$89,3,0)*0.475*44/12</f>
        <v>2.4277456606143191</v>
      </c>
      <c r="CM191" s="21">
        <f>EXP(-LN(2)/2)*CM190+(1-EXP(-LN(2)/2))/(LN(2)/2)*CG191*CJ191*VLOOKUP('Données projet'!$B$12,Paramètres!$A$1:$I$89,3,0)*0.475*44/12</f>
        <v>1.9907793729788455E-17</v>
      </c>
      <c r="CN191" s="22">
        <f t="shared" si="172"/>
        <v>29.572990856655437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-1.064108801074326E-13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482.28841373508675</v>
      </c>
      <c r="T192" s="59">
        <f t="shared" si="142"/>
        <v>746.97309214631684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37.601252569957914</v>
      </c>
      <c r="AA192" s="21">
        <f>EXP(-LN(2)/25)*AA191+(1-EXP(-LN(2)/25))/(LN(2)/25)*Calculateur!V192*Calculateur!X192*VLOOKUP('Données projet'!$B$9,Paramètres!$A$1:$I$89,3,0)*0.475*44/12</f>
        <v>3.3786762479682522</v>
      </c>
      <c r="AB192" s="21">
        <f>EXP(-LN(2)/2)*AB191+(1-EXP(-LN(2)/2))/(LN(2)/2)*V192*Y192*VLOOKUP('Données projet'!$B$9,Paramètres!$A$1:$I$89,3,0)*0.475*44/12</f>
        <v>8.0640698790792616E-16</v>
      </c>
      <c r="AC192" s="22">
        <f t="shared" si="163"/>
        <v>40.979928817926165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-5.3205440053716299E-14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259.91478350500478</v>
      </c>
      <c r="AO192" s="59">
        <f t="shared" si="144"/>
        <v>192.27194887051007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40.82278774472033</v>
      </c>
      <c r="AV192" s="21">
        <f>EXP(-LN(2)/25)*AV191+(1-EXP(-LN(2)/25))/(LN(2)/25)*Calculateur!AQ192*Calculateur!AS192*VLOOKUP('Données projet'!$B$10,Paramètres!$A$1:$I$89,3,0)*0.475*44/12</f>
        <v>4.5926862246705111</v>
      </c>
      <c r="AW192" s="21">
        <f>EXP(-LN(2)/2)*AW191+(1-EXP(-LN(2)/2))/(LN(2)/2)*AQ192*AT192*VLOOKUP('Données projet'!$B$10,Paramètres!$A$1:$I$89,3,0)*0.475*44/12</f>
        <v>1.9176998158944323E-12</v>
      </c>
      <c r="AX192" s="21">
        <f t="shared" si="166"/>
        <v>45.415473969392757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-1.3596945791505279E-13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284.60021367910457</v>
      </c>
      <c r="BJ192" s="59">
        <f t="shared" si="146"/>
        <v>301.41905904220812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17.274837965890882</v>
      </c>
      <c r="BQ192" s="21">
        <f>EXP(-LN(2)/25)*BQ191+(1-EXP(-LN(2)/25))/(LN(2)/25)*Calculateur!BL192*Calculateur!BN192*VLOOKUP('Données projet'!$B$11,Paramètres!$A$1:$I$89,3,0)*0.475*44/12</f>
        <v>1.4985027248543732</v>
      </c>
      <c r="BR192" s="21">
        <f>EXP(-LN(2)/2)*BR191+(1-EXP(-LN(2)/2))/(LN(2)/2)*BL192*BO192*VLOOKUP('Données projet'!$B$11,Paramètres!$A$1:$I$89,3,0)*0.475*44/12</f>
        <v>1.0900838457651167E-17</v>
      </c>
      <c r="BS192" s="22">
        <f t="shared" si="169"/>
        <v>18.773340690745254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-3.4106051316484809E-13</v>
      </c>
      <c r="BZ192" s="13">
        <f>BY192*VLOOKUP('Données projet'!$B$12,Paramètres!$A$1:$I$89,3,0)*VLOOKUP('Données projet'!$B$12,Paramètres!$A$1:$I$89,5,0)</f>
        <v>-1.9065282685915009E-13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490.96084572840579</v>
      </c>
      <c r="CE192" s="59">
        <f t="shared" si="148"/>
        <v>597.91658789908263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26.612943494711455</v>
      </c>
      <c r="CL192" s="21">
        <f>EXP(-LN(2)/25)*CL191+(1-EXP(-LN(2)/25))/(LN(2)/25)*Calculateur!CG192*Calculateur!CI192*VLOOKUP('Données projet'!$B$12,Paramètres!$A$1:$I$89,3,0)*0.475*44/12</f>
        <v>2.3613588278552249</v>
      </c>
      <c r="CM192" s="21">
        <f>EXP(-LN(2)/2)*CM191+(1-EXP(-LN(2)/2))/(LN(2)/2)*CG192*CJ192*VLOOKUP('Données projet'!$B$12,Paramètres!$A$1:$I$89,3,0)*0.475*44/12</f>
        <v>1.4076935944796448E-17</v>
      </c>
      <c r="CN192" s="22">
        <f t="shared" si="172"/>
        <v>28.974302322566679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-1.064108801074326E-13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482.28841373508675</v>
      </c>
      <c r="T193" s="59">
        <f t="shared" si="142"/>
        <v>746.97309214631684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36.863914941560516</v>
      </c>
      <c r="AA193" s="21">
        <f>EXP(-LN(2)/25)*AA192+(1-EXP(-LN(2)/25))/(LN(2)/25)*Calculateur!V193*Calculateur!X193*VLOOKUP('Données projet'!$B$9,Paramètres!$A$1:$I$89,3,0)*0.475*44/12</f>
        <v>3.2862861682906983</v>
      </c>
      <c r="AB193" s="21">
        <f>EXP(-LN(2)/2)*AB192+(1-EXP(-LN(2)/2))/(LN(2)/2)*V193*Y193*VLOOKUP('Données projet'!$B$9,Paramètres!$A$1:$I$89,3,0)*0.475*44/12</f>
        <v>5.7021584954591281E-16</v>
      </c>
      <c r="AC193" s="22">
        <f t="shared" si="163"/>
        <v>40.150201109851217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-5.3205440053716299E-14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259.91478350500478</v>
      </c>
      <c r="AO193" s="59">
        <f t="shared" si="144"/>
        <v>192.27194887051007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40.022277776488274</v>
      </c>
      <c r="AV193" s="21">
        <f>EXP(-LN(2)/25)*AV192+(1-EXP(-LN(2)/25))/(LN(2)/25)*Calculateur!AQ193*Calculateur!AS193*VLOOKUP('Données projet'!$B$10,Paramètres!$A$1:$I$89,3,0)*0.475*44/12</f>
        <v>4.4670989783380239</v>
      </c>
      <c r="AW193" s="21">
        <f>EXP(-LN(2)/2)*AW192+(1-EXP(-LN(2)/2))/(LN(2)/2)*AQ193*AT193*VLOOKUP('Données projet'!$B$10,Paramètres!$A$1:$I$89,3,0)*0.475*44/12</f>
        <v>1.3560185440991468E-12</v>
      </c>
      <c r="AX193" s="21">
        <f t="shared" si="166"/>
        <v>44.489376754827653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-1.3596945791505279E-13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284.60021367910457</v>
      </c>
      <c r="BJ193" s="59">
        <f t="shared" si="146"/>
        <v>301.41905904220812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16.936088929990518</v>
      </c>
      <c r="BQ193" s="21">
        <f>EXP(-LN(2)/25)*BQ192+(1-EXP(-LN(2)/25))/(LN(2)/25)*Calculateur!BL193*Calculateur!BN193*VLOOKUP('Données projet'!$B$11,Paramètres!$A$1:$I$89,3,0)*0.475*44/12</f>
        <v>1.4575260890403969</v>
      </c>
      <c r="BR193" s="21">
        <f>EXP(-LN(2)/2)*BR192+(1-EXP(-LN(2)/2))/(LN(2)/2)*BL193*BO193*VLOOKUP('Données projet'!$B$11,Paramètres!$A$1:$I$89,3,0)*0.475*44/12</f>
        <v>7.7080567940242461E-18</v>
      </c>
      <c r="BS193" s="22">
        <f t="shared" si="169"/>
        <v>18.393615019030914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-3.4106051316484809E-13</v>
      </c>
      <c r="BZ193" s="13">
        <f>BY193*VLOOKUP('Données projet'!$B$12,Paramètres!$A$1:$I$89,3,0)*VLOOKUP('Données projet'!$B$12,Paramètres!$A$1:$I$89,5,0)</f>
        <v>-1.9065282685915009E-13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490.96084572840579</v>
      </c>
      <c r="CE193" s="59">
        <f t="shared" si="148"/>
        <v>597.91658789908263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26.091079905072888</v>
      </c>
      <c r="CL193" s="21">
        <f>EXP(-LN(2)/25)*CL192+(1-EXP(-LN(2)/25))/(LN(2)/25)*Calculateur!CG193*Calculateur!CI193*VLOOKUP('Données projet'!$B$12,Paramètres!$A$1:$I$89,3,0)*0.475*44/12</f>
        <v>2.2967873465290598</v>
      </c>
      <c r="CM193" s="21">
        <f>EXP(-LN(2)/2)*CM192+(1-EXP(-LN(2)/2))/(LN(2)/2)*CG193*CJ193*VLOOKUP('Données projet'!$B$12,Paramètres!$A$1:$I$89,3,0)*0.475*44/12</f>
        <v>9.9538968648942277E-18</v>
      </c>
      <c r="CN193" s="22">
        <f t="shared" si="172"/>
        <v>28.387867251601946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-1.064108801074326E-13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482.28841373508675</v>
      </c>
      <c r="T194" s="59">
        <f t="shared" si="142"/>
        <v>746.97309214631684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36.141036054324445</v>
      </c>
      <c r="AA194" s="21">
        <f>EXP(-LN(2)/25)*AA193+(1-EXP(-LN(2)/25))/(LN(2)/25)*Calculateur!V194*Calculateur!X194*VLOOKUP('Données projet'!$B$9,Paramètres!$A$1:$I$89,3,0)*0.475*44/12</f>
        <v>3.1964225002005104</v>
      </c>
      <c r="AB194" s="21">
        <f>EXP(-LN(2)/2)*AB193+(1-EXP(-LN(2)/2))/(LN(2)/2)*V194*Y194*VLOOKUP('Données projet'!$B$9,Paramètres!$A$1:$I$89,3,0)*0.475*44/12</f>
        <v>4.0320349395396308E-16</v>
      </c>
      <c r="AC194" s="22">
        <f t="shared" si="163"/>
        <v>39.337458554524957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-5.3205440053716299E-14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259.91478350500478</v>
      </c>
      <c r="AO194" s="59">
        <f t="shared" si="144"/>
        <v>192.27194887051007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39.237465320470378</v>
      </c>
      <c r="AV194" s="21">
        <f>EXP(-LN(2)/25)*AV193+(1-EXP(-LN(2)/25))/(LN(2)/25)*Calculateur!AQ194*Calculateur!AS194*VLOOKUP('Données projet'!$B$10,Paramètres!$A$1:$I$89,3,0)*0.475*44/12</f>
        <v>4.3449459218608455</v>
      </c>
      <c r="AW194" s="21">
        <f>EXP(-LN(2)/2)*AW193+(1-EXP(-LN(2)/2))/(LN(2)/2)*AQ194*AT194*VLOOKUP('Données projet'!$B$10,Paramètres!$A$1:$I$89,3,0)*0.475*44/12</f>
        <v>9.5884990794721613E-13</v>
      </c>
      <c r="AX194" s="21">
        <f t="shared" si="166"/>
        <v>43.582411242332185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-1.3596945791505279E-13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284.60021367910457</v>
      </c>
      <c r="BJ194" s="59">
        <f t="shared" si="146"/>
        <v>301.41905904220812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16.603982556067649</v>
      </c>
      <c r="BQ194" s="21">
        <f>EXP(-LN(2)/25)*BQ193+(1-EXP(-LN(2)/25))/(LN(2)/25)*Calculateur!BL194*Calculateur!BN194*VLOOKUP('Données projet'!$B$11,Paramètres!$A$1:$I$89,3,0)*0.475*44/12</f>
        <v>1.4176699614876214</v>
      </c>
      <c r="BR194" s="21">
        <f>EXP(-LN(2)/2)*BR193+(1-EXP(-LN(2)/2))/(LN(2)/2)*BL194*BO194*VLOOKUP('Données projet'!$B$11,Paramètres!$A$1:$I$89,3,0)*0.475*44/12</f>
        <v>5.4504192288255837E-18</v>
      </c>
      <c r="BS194" s="22">
        <f t="shared" si="169"/>
        <v>18.021652517555271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-3.4106051316484809E-13</v>
      </c>
      <c r="BZ194" s="13">
        <f>BY194*VLOOKUP('Données projet'!$B$12,Paramètres!$A$1:$I$89,3,0)*VLOOKUP('Données projet'!$B$12,Paramètres!$A$1:$I$89,5,0)</f>
        <v>-1.9065282685915009E-13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490.96084572840579</v>
      </c>
      <c r="CE194" s="59">
        <f t="shared" si="148"/>
        <v>597.91658789908263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25.579449742121774</v>
      </c>
      <c r="CL194" s="21">
        <f>EXP(-LN(2)/25)*CL193+(1-EXP(-LN(2)/25))/(LN(2)/25)*Calculateur!CG194*Calculateur!CI194*VLOOKUP('Données projet'!$B$12,Paramètres!$A$1:$I$89,3,0)*0.475*44/12</f>
        <v>2.2339815757554256</v>
      </c>
      <c r="CM194" s="21">
        <f>EXP(-LN(2)/2)*CM193+(1-EXP(-LN(2)/2))/(LN(2)/2)*CG194*CJ194*VLOOKUP('Données projet'!$B$12,Paramètres!$A$1:$I$89,3,0)*0.475*44/12</f>
        <v>7.0384679723982239E-18</v>
      </c>
      <c r="CN194" s="22">
        <f t="shared" si="172"/>
        <v>27.8134313178772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-1.064108801074326E-13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482.28841373508675</v>
      </c>
      <c r="T195" s="59">
        <f t="shared" si="142"/>
        <v>746.97309214631684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35.432332381154488</v>
      </c>
      <c r="AA195" s="21">
        <f>EXP(-LN(2)/25)*AA194+(1-EXP(-LN(2)/25))/(LN(2)/25)*Calculateur!V195*Calculateur!X195*VLOOKUP('Données projet'!$B$9,Paramètres!$A$1:$I$89,3,0)*0.475*44/12</f>
        <v>3.1090161588399736</v>
      </c>
      <c r="AB195" s="21">
        <f>EXP(-LN(2)/2)*AB194+(1-EXP(-LN(2)/2))/(LN(2)/2)*V195*Y195*VLOOKUP('Données projet'!$B$9,Paramètres!$A$1:$I$89,3,0)*0.475*44/12</f>
        <v>2.8510792477295641E-16</v>
      </c>
      <c r="AC195" s="22">
        <f t="shared" si="163"/>
        <v>38.541348539994459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-5.3205440053716299E-14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259.91478350500478</v>
      </c>
      <c r="AO195" s="59">
        <f t="shared" si="144"/>
        <v>192.27194887051007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38.46804255802666</v>
      </c>
      <c r="AV195" s="21">
        <f>EXP(-LN(2)/25)*AV194+(1-EXP(-LN(2)/25))/(LN(2)/25)*Calculateur!AQ195*Calculateur!AS195*VLOOKUP('Données projet'!$B$10,Paramètres!$A$1:$I$89,3,0)*0.475*44/12</f>
        <v>4.2261331471367853</v>
      </c>
      <c r="AW195" s="21">
        <f>EXP(-LN(2)/2)*AW194+(1-EXP(-LN(2)/2))/(LN(2)/2)*AQ195*AT195*VLOOKUP('Données projet'!$B$10,Paramètres!$A$1:$I$89,3,0)*0.475*44/12</f>
        <v>6.7800927204957342E-13</v>
      </c>
      <c r="AX195" s="21">
        <f t="shared" si="166"/>
        <v>42.69417570516412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-1.3596945791505279E-13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284.60021367910457</v>
      </c>
      <c r="BJ195" s="59">
        <f t="shared" si="146"/>
        <v>301.41905904220812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16.278388585572522</v>
      </c>
      <c r="BQ195" s="21">
        <f>EXP(-LN(2)/25)*BQ194+(1-EXP(-LN(2)/25))/(LN(2)/25)*Calculateur!BL195*Calculateur!BN195*VLOOKUP('Données projet'!$B$11,Paramètres!$A$1:$I$89,3,0)*0.475*44/12</f>
        <v>1.3789037018387191</v>
      </c>
      <c r="BR195" s="21">
        <f>EXP(-LN(2)/2)*BR194+(1-EXP(-LN(2)/2))/(LN(2)/2)*BL195*BO195*VLOOKUP('Données projet'!$B$11,Paramètres!$A$1:$I$89,3,0)*0.475*44/12</f>
        <v>3.8540283970121231E-18</v>
      </c>
      <c r="BS195" s="22">
        <f t="shared" si="169"/>
        <v>17.657292287411241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-3.4106051316484809E-13</v>
      </c>
      <c r="BZ195" s="13">
        <f>BY195*VLOOKUP('Données projet'!$B$12,Paramètres!$A$1:$I$89,3,0)*VLOOKUP('Données projet'!$B$12,Paramètres!$A$1:$I$89,5,0)</f>
        <v>-1.9065282685915009E-13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490.96084572840579</v>
      </c>
      <c r="CE195" s="59">
        <f t="shared" si="148"/>
        <v>597.91658789908263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25.077852334602547</v>
      </c>
      <c r="CL195" s="21">
        <f>EXP(-LN(2)/25)*CL194+(1-EXP(-LN(2)/25))/(LN(2)/25)*Calculateur!CG195*Calculateur!CI195*VLOOKUP('Données projet'!$B$12,Paramètres!$A$1:$I$89,3,0)*0.475*44/12</f>
        <v>2.1728932320864081</v>
      </c>
      <c r="CM195" s="21">
        <f>EXP(-LN(2)/2)*CM194+(1-EXP(-LN(2)/2))/(LN(2)/2)*CG195*CJ195*VLOOKUP('Données projet'!$B$12,Paramètres!$A$1:$I$89,3,0)*0.475*44/12</f>
        <v>4.9769484324471138E-18</v>
      </c>
      <c r="CN195" s="22">
        <f t="shared" si="172"/>
        <v>27.250745566688956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-1.064108801074326E-13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482.28841373508675</v>
      </c>
      <c r="T196" s="59">
        <f t="shared" si="142"/>
        <v>746.97309214631684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34.737525954748833</v>
      </c>
      <c r="AA196" s="21">
        <f>EXP(-LN(2)/25)*AA195+(1-EXP(-LN(2)/25))/(LN(2)/25)*Calculateur!V196*Calculateur!X196*VLOOKUP('Données projet'!$B$9,Paramètres!$A$1:$I$89,3,0)*0.475*44/12</f>
        <v>3.0239999484804403</v>
      </c>
      <c r="AB196" s="21">
        <f>EXP(-LN(2)/2)*AB195+(1-EXP(-LN(2)/2))/(LN(2)/2)*V196*Y196*VLOOKUP('Données projet'!$B$9,Paramètres!$A$1:$I$89,3,0)*0.475*44/12</f>
        <v>2.0160174697698154E-16</v>
      </c>
      <c r="AC196" s="22">
        <f t="shared" si="163"/>
        <v>37.76152590322927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-5.3205440053716299E-14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259.91478350500478</v>
      </c>
      <c r="AO196" s="59">
        <f t="shared" si="144"/>
        <v>192.27194887051007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37.713707706652919</v>
      </c>
      <c r="AV196" s="21">
        <f>EXP(-LN(2)/25)*AV195+(1-EXP(-LN(2)/25))/(LN(2)/25)*Calculateur!AQ196*Calculateur!AS196*VLOOKUP('Données projet'!$B$10,Paramètres!$A$1:$I$89,3,0)*0.475*44/12</f>
        <v>4.1105693139856463</v>
      </c>
      <c r="AW196" s="21">
        <f>EXP(-LN(2)/2)*AW195+(1-EXP(-LN(2)/2))/(LN(2)/2)*AQ196*AT196*VLOOKUP('Données projet'!$B$10,Paramètres!$A$1:$I$89,3,0)*0.475*44/12</f>
        <v>4.7942495397360807E-13</v>
      </c>
      <c r="AX196" s="21">
        <f t="shared" si="166"/>
        <v>41.824277020639038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-1.3596945791505279E-13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284.60021367910457</v>
      </c>
      <c r="BJ196" s="59">
        <f t="shared" si="146"/>
        <v>301.41905904220812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15.959179314246091</v>
      </c>
      <c r="BQ196" s="21">
        <f>EXP(-LN(2)/25)*BQ195+(1-EXP(-LN(2)/25))/(LN(2)/25)*Calculateur!BL196*Calculateur!BN196*VLOOKUP('Données projet'!$B$11,Paramètres!$A$1:$I$89,3,0)*0.475*44/12</f>
        <v>1.3411975075985452</v>
      </c>
      <c r="BR196" s="21">
        <f>EXP(-LN(2)/2)*BR195+(1-EXP(-LN(2)/2))/(LN(2)/2)*BL196*BO196*VLOOKUP('Données projet'!$B$11,Paramètres!$A$1:$I$89,3,0)*0.475*44/12</f>
        <v>2.7252096144127918E-18</v>
      </c>
      <c r="BS196" s="22">
        <f t="shared" si="169"/>
        <v>17.300376821844637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-3.4106051316484809E-13</v>
      </c>
      <c r="BZ196" s="13">
        <f>BY196*VLOOKUP('Données projet'!$B$12,Paramètres!$A$1:$I$89,3,0)*VLOOKUP('Données projet'!$B$12,Paramètres!$A$1:$I$89,5,0)</f>
        <v>-1.9065282685915009E-13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490.96084572840579</v>
      </c>
      <c r="CE196" s="59">
        <f t="shared" si="148"/>
        <v>597.91658789908263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24.586090946300562</v>
      </c>
      <c r="CL196" s="21">
        <f>EXP(-LN(2)/25)*CL195+(1-EXP(-LN(2)/25))/(LN(2)/25)*Calculateur!CG196*Calculateur!CI196*VLOOKUP('Données projet'!$B$12,Paramètres!$A$1:$I$89,3,0)*0.475*44/12</f>
        <v>2.1134753523875163</v>
      </c>
      <c r="CM196" s="21">
        <f>EXP(-LN(2)/2)*CM195+(1-EXP(-LN(2)/2))/(LN(2)/2)*CG196*CJ196*VLOOKUP('Données projet'!$B$12,Paramètres!$A$1:$I$89,3,0)*0.475*44/12</f>
        <v>3.519233986199112E-18</v>
      </c>
      <c r="CN196" s="22">
        <f t="shared" si="172"/>
        <v>26.69956629868808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-1.064108801074326E-13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482.28841373508675</v>
      </c>
      <c r="T197" s="59">
        <f t="shared" ref="T197:T203" si="204">$T$3</f>
        <v>746.97309214631684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34.056344258574917</v>
      </c>
      <c r="AA197" s="21">
        <f>EXP(-LN(2)/25)*AA196+(1-EXP(-LN(2)/25))/(LN(2)/25)*Calculateur!V197*Calculateur!X197*VLOOKUP('Données projet'!$B$9,Paramètres!$A$1:$I$89,3,0)*0.475*44/12</f>
        <v>2.9413085108639967</v>
      </c>
      <c r="AB197" s="21">
        <f>EXP(-LN(2)/2)*AB196+(1-EXP(-LN(2)/2))/(LN(2)/2)*V197*Y197*VLOOKUP('Données projet'!$B$9,Paramètres!$A$1:$I$89,3,0)*0.475*44/12</f>
        <v>1.425539623864782E-16</v>
      </c>
      <c r="AC197" s="22">
        <f t="shared" si="163"/>
        <v>36.997652769438915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-5.3205440053716299E-14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259.91478350500478</v>
      </c>
      <c r="AO197" s="59">
        <f t="shared" ref="AO197:AO203" si="205">$AO$3</f>
        <v>192.27194887051007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36.974164901615787</v>
      </c>
      <c r="AV197" s="21">
        <f>EXP(-LN(2)/25)*AV196+(1-EXP(-LN(2)/25))/(LN(2)/25)*Calculateur!AQ197*Calculateur!AS197*VLOOKUP('Données projet'!$B$10,Paramètres!$A$1:$I$89,3,0)*0.475*44/12</f>
        <v>3.9981655799292635</v>
      </c>
      <c r="AW197" s="21">
        <f>EXP(-LN(2)/2)*AW196+(1-EXP(-LN(2)/2))/(LN(2)/2)*AQ197*AT197*VLOOKUP('Données projet'!$B$10,Paramètres!$A$1:$I$89,3,0)*0.475*44/12</f>
        <v>3.3900463602478671E-13</v>
      </c>
      <c r="AX197" s="21">
        <f t="shared" si="166"/>
        <v>40.972330481545391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-1.3596945791505279E-13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284.60021367910457</v>
      </c>
      <c r="BJ197" s="59">
        <f t="shared" ref="BJ197:BJ203" si="206">$BJ$3</f>
        <v>301.41905904220812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15.646229542031941</v>
      </c>
      <c r="BQ197" s="21">
        <f>EXP(-LN(2)/25)*BQ196+(1-EXP(-LN(2)/25))/(LN(2)/25)*Calculateur!BL197*Calculateur!BN197*VLOOKUP('Données projet'!$B$11,Paramètres!$A$1:$I$89,3,0)*0.475*44/12</f>
        <v>1.3045223912227513</v>
      </c>
      <c r="BR197" s="21">
        <f>EXP(-LN(2)/2)*BR196+(1-EXP(-LN(2)/2))/(LN(2)/2)*BL197*BO197*VLOOKUP('Données projet'!$B$11,Paramètres!$A$1:$I$89,3,0)*0.475*44/12</f>
        <v>1.9270141985060615E-18</v>
      </c>
      <c r="BS197" s="22">
        <f t="shared" si="169"/>
        <v>16.950751933254693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-3.4106051316484809E-13</v>
      </c>
      <c r="BZ197" s="13">
        <f>BY197*VLOOKUP('Données projet'!$B$12,Paramètres!$A$1:$I$89,3,0)*VLOOKUP('Données projet'!$B$12,Paramètres!$A$1:$I$89,5,0)</f>
        <v>-1.9065282685915009E-13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490.96084572840579</v>
      </c>
      <c r="CE197" s="59">
        <f t="shared" ref="CE197:CE203" si="207">$CE$3</f>
        <v>597.91658789908263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24.103972698878351</v>
      </c>
      <c r="CL197" s="21">
        <f>EXP(-LN(2)/25)*CL196+(1-EXP(-LN(2)/25))/(LN(2)/25)*Calculateur!CG197*Calculateur!CI197*VLOOKUP('Données projet'!$B$12,Paramètres!$A$1:$I$89,3,0)*0.475*44/12</f>
        <v>2.0556822577336411</v>
      </c>
      <c r="CM197" s="21">
        <f>EXP(-LN(2)/2)*CM196+(1-EXP(-LN(2)/2))/(LN(2)/2)*CG197*CJ197*VLOOKUP('Données projet'!$B$12,Paramètres!$A$1:$I$89,3,0)*0.475*44/12</f>
        <v>2.4884742162235569E-18</v>
      </c>
      <c r="CN197" s="22">
        <f t="shared" si="172"/>
        <v>26.159654956611991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-1.064108801074326E-13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482.28841373508675</v>
      </c>
      <c r="T198" s="59">
        <f t="shared" si="204"/>
        <v>746.97309214631684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33.388520119983163</v>
      </c>
      <c r="AA198" s="21">
        <f>EXP(-LN(2)/25)*AA197+(1-EXP(-LN(2)/25))/(LN(2)/25)*Calculateur!V198*Calculateur!X198*VLOOKUP('Données projet'!$B$9,Paramètres!$A$1:$I$89,3,0)*0.475*44/12</f>
        <v>2.8608782749577286</v>
      </c>
      <c r="AB198" s="21">
        <f>EXP(-LN(2)/2)*AB197+(1-EXP(-LN(2)/2))/(LN(2)/2)*V198*Y198*VLOOKUP('Données projet'!$B$9,Paramètres!$A$1:$I$89,3,0)*0.475*44/12</f>
        <v>1.0080087348849077E-16</v>
      </c>
      <c r="AC198" s="22">
        <f t="shared" si="163"/>
        <v>36.24939839494089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-5.3205440053716299E-14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259.91478350500478</v>
      </c>
      <c r="AO198" s="59">
        <f t="shared" si="205"/>
        <v>192.27194887051007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36.249124079908867</v>
      </c>
      <c r="AV198" s="21">
        <f>EXP(-LN(2)/25)*AV197+(1-EXP(-LN(2)/25))/(LN(2)/25)*Calculateur!AQ198*Calculateur!AS198*VLOOKUP('Données projet'!$B$10,Paramètres!$A$1:$I$89,3,0)*0.475*44/12</f>
        <v>3.8888355318917078</v>
      </c>
      <c r="AW198" s="21">
        <f>EXP(-LN(2)/2)*AW197+(1-EXP(-LN(2)/2))/(LN(2)/2)*AQ198*AT198*VLOOKUP('Données projet'!$B$10,Paramètres!$A$1:$I$89,3,0)*0.475*44/12</f>
        <v>2.3971247698680403E-13</v>
      </c>
      <c r="AX198" s="21">
        <f t="shared" si="166"/>
        <v>40.137959611800817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-1.3596945791505279E-13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284.60021367910457</v>
      </c>
      <c r="BJ198" s="59">
        <f t="shared" si="206"/>
        <v>301.41905904220812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15.339416523970398</v>
      </c>
      <c r="BQ198" s="21">
        <f>EXP(-LN(2)/25)*BQ197+(1-EXP(-LN(2)/25))/(LN(2)/25)*Calculateur!BL198*Calculateur!BN198*VLOOKUP('Données projet'!$B$11,Paramètres!$A$1:$I$89,3,0)*0.475*44/12</f>
        <v>1.2688501578329141</v>
      </c>
      <c r="BR198" s="21">
        <f>EXP(-LN(2)/2)*BR197+(1-EXP(-LN(2)/2))/(LN(2)/2)*BL198*BO198*VLOOKUP('Données projet'!$B$11,Paramètres!$A$1:$I$89,3,0)*0.475*44/12</f>
        <v>1.3626048072063959E-18</v>
      </c>
      <c r="BS198" s="22">
        <f t="shared" si="169"/>
        <v>16.608266681803311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-3.4106051316484809E-13</v>
      </c>
      <c r="BZ198" s="13">
        <f>BY198*VLOOKUP('Données projet'!$B$12,Paramètres!$A$1:$I$89,3,0)*VLOOKUP('Données projet'!$B$12,Paramètres!$A$1:$I$89,5,0)</f>
        <v>-1.9065282685915009E-13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490.96084572840579</v>
      </c>
      <c r="CE198" s="59">
        <f t="shared" si="207"/>
        <v>597.91658789908263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23.631308496224992</v>
      </c>
      <c r="CL198" s="21">
        <f>EXP(-LN(2)/25)*CL197+(1-EXP(-LN(2)/25))/(LN(2)/25)*Calculateur!CG198*Calculateur!CI198*VLOOKUP('Données projet'!$B$12,Paramètres!$A$1:$I$89,3,0)*0.475*44/12</f>
        <v>1.999469518292283</v>
      </c>
      <c r="CM198" s="21">
        <f>EXP(-LN(2)/2)*CM197+(1-EXP(-LN(2)/2))/(LN(2)/2)*CG198*CJ198*VLOOKUP('Données projet'!$B$12,Paramètres!$A$1:$I$89,3,0)*0.475*44/12</f>
        <v>1.759616993099556E-18</v>
      </c>
      <c r="CN198" s="22">
        <f t="shared" si="172"/>
        <v>25.630778014517276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-1.064108801074326E-13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482.28841373508675</v>
      </c>
      <c r="T199" s="59">
        <f t="shared" si="204"/>
        <v>746.97309214631684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32.733791605416691</v>
      </c>
      <c r="AA199" s="21">
        <f>EXP(-LN(2)/25)*AA198+(1-EXP(-LN(2)/25))/(LN(2)/25)*Calculateur!V199*Calculateur!X199*VLOOKUP('Données projet'!$B$9,Paramètres!$A$1:$I$89,3,0)*0.475*44/12</f>
        <v>2.7826474080819597</v>
      </c>
      <c r="AB199" s="21">
        <f>EXP(-LN(2)/2)*AB198+(1-EXP(-LN(2)/2))/(LN(2)/2)*V199*Y199*VLOOKUP('Données projet'!$B$9,Paramètres!$A$1:$I$89,3,0)*0.475*44/12</f>
        <v>7.1276981193239101E-17</v>
      </c>
      <c r="AC199" s="22">
        <f t="shared" si="163"/>
        <v>35.516439013498648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-5.3205440053716299E-14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259.91478350500478</v>
      </c>
      <c r="AO199" s="59">
        <f t="shared" si="205"/>
        <v>192.27194887051007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35.538300866484384</v>
      </c>
      <c r="AV199" s="21">
        <f>EXP(-LN(2)/25)*AV198+(1-EXP(-LN(2)/25))/(LN(2)/25)*Calculateur!AQ199*Calculateur!AS199*VLOOKUP('Données projet'!$B$10,Paramètres!$A$1:$I$89,3,0)*0.475*44/12</f>
        <v>3.7824951197671566</v>
      </c>
      <c r="AW199" s="21">
        <f>EXP(-LN(2)/2)*AW198+(1-EXP(-LN(2)/2))/(LN(2)/2)*AQ199*AT199*VLOOKUP('Données projet'!$B$10,Paramètres!$A$1:$I$89,3,0)*0.475*44/12</f>
        <v>1.6950231801239335E-13</v>
      </c>
      <c r="AX199" s="21">
        <f t="shared" si="166"/>
        <v>39.32079598625171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-1.3596945791505279E-13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284.60021367910457</v>
      </c>
      <c r="BJ199" s="59">
        <f t="shared" si="206"/>
        <v>301.41905904220812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15.038619922055577</v>
      </c>
      <c r="BQ199" s="21">
        <f>EXP(-LN(2)/25)*BQ198+(1-EXP(-LN(2)/25))/(LN(2)/25)*Calculateur!BL199*Calculateur!BN199*VLOOKUP('Données projet'!$B$11,Paramètres!$A$1:$I$89,3,0)*0.475*44/12</f>
        <v>1.2341533835410432</v>
      </c>
      <c r="BR199" s="21">
        <f>EXP(-LN(2)/2)*BR198+(1-EXP(-LN(2)/2))/(LN(2)/2)*BL199*BO199*VLOOKUP('Données projet'!$B$11,Paramètres!$A$1:$I$89,3,0)*0.475*44/12</f>
        <v>9.6350709925303076E-19</v>
      </c>
      <c r="BS199" s="22">
        <f t="shared" si="169"/>
        <v>16.272773305596619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-3.4106051316484809E-13</v>
      </c>
      <c r="BZ199" s="13">
        <f>BY199*VLOOKUP('Données projet'!$B$12,Paramètres!$A$1:$I$89,3,0)*VLOOKUP('Données projet'!$B$12,Paramètres!$A$1:$I$89,5,0)</f>
        <v>-1.9065282685915009E-13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490.96084572840579</v>
      </c>
      <c r="CE199" s="59">
        <f t="shared" si="207"/>
        <v>597.91658789908263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23.167912950288972</v>
      </c>
      <c r="CL199" s="21">
        <f>EXP(-LN(2)/25)*CL198+(1-EXP(-LN(2)/25))/(LN(2)/25)*Calculateur!CG199*Calculateur!CI199*VLOOKUP('Données projet'!$B$12,Paramètres!$A$1:$I$89,3,0)*0.475*44/12</f>
        <v>1.9447939191670485</v>
      </c>
      <c r="CM199" s="21">
        <f>EXP(-LN(2)/2)*CM198+(1-EXP(-LN(2)/2))/(LN(2)/2)*CG199*CJ199*VLOOKUP('Données projet'!$B$12,Paramètres!$A$1:$I$89,3,0)*0.475*44/12</f>
        <v>1.2442371081117785E-18</v>
      </c>
      <c r="CN199" s="22">
        <f t="shared" si="172"/>
        <v>25.112706869456019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-1.064108801074326E-13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482.28841373508675</v>
      </c>
      <c r="T200" s="59">
        <f t="shared" si="204"/>
        <v>746.97309214631684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32.091901917675905</v>
      </c>
      <c r="AA200" s="21">
        <f>EXP(-LN(2)/25)*AA199+(1-EXP(-LN(2)/25))/(LN(2)/25)*Calculateur!V200*Calculateur!X200*VLOOKUP('Données projet'!$B$9,Paramètres!$A$1:$I$89,3,0)*0.475*44/12</f>
        <v>2.7065557683748911</v>
      </c>
      <c r="AB200" s="21">
        <f>EXP(-LN(2)/2)*AB199+(1-EXP(-LN(2)/2))/(LN(2)/2)*V200*Y200*VLOOKUP('Données projet'!$B$9,Paramètres!$A$1:$I$89,3,0)*0.475*44/12</f>
        <v>5.0400436744245385E-17</v>
      </c>
      <c r="AC200" s="22">
        <f t="shared" si="163"/>
        <v>34.798457686050796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-5.3205440053716299E-14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259.91478350500478</v>
      </c>
      <c r="AO200" s="59">
        <f t="shared" si="205"/>
        <v>192.27194887051007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34.841416462715806</v>
      </c>
      <c r="AV200" s="21">
        <f>EXP(-LN(2)/25)*AV199+(1-EXP(-LN(2)/25))/(LN(2)/25)*Calculateur!AQ200*Calculateur!AS200*VLOOKUP('Données projet'!$B$10,Paramètres!$A$1:$I$89,3,0)*0.475*44/12</f>
        <v>3.6790625918043505</v>
      </c>
      <c r="AW200" s="21">
        <f>EXP(-LN(2)/2)*AW199+(1-EXP(-LN(2)/2))/(LN(2)/2)*AQ200*AT200*VLOOKUP('Données projet'!$B$10,Paramètres!$A$1:$I$89,3,0)*0.475*44/12</f>
        <v>1.1985623849340202E-13</v>
      </c>
      <c r="AX200" s="21">
        <f t="shared" si="166"/>
        <v>38.52047905452028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-1.3596945791505279E-13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284.60021367910457</v>
      </c>
      <c r="BJ200" s="59">
        <f t="shared" si="206"/>
        <v>301.41905904220812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14.743721758036497</v>
      </c>
      <c r="BQ200" s="21">
        <f>EXP(-LN(2)/25)*BQ199+(1-EXP(-LN(2)/25))/(LN(2)/25)*Calculateur!BL200*Calculateur!BN200*VLOOKUP('Données projet'!$B$11,Paramètres!$A$1:$I$89,3,0)*0.475*44/12</f>
        <v>1.2004053943668076</v>
      </c>
      <c r="BR200" s="21">
        <f>EXP(-LN(2)/2)*BR199+(1-EXP(-LN(2)/2))/(LN(2)/2)*BL200*BO200*VLOOKUP('Données projet'!$B$11,Paramètres!$A$1:$I$89,3,0)*0.475*44/12</f>
        <v>6.8130240360319796E-19</v>
      </c>
      <c r="BS200" s="22">
        <f t="shared" si="169"/>
        <v>15.944127152403304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-3.4106051316484809E-13</v>
      </c>
      <c r="BZ200" s="13">
        <f>BY200*VLOOKUP('Données projet'!$B$12,Paramètres!$A$1:$I$89,3,0)*VLOOKUP('Données projet'!$B$12,Paramètres!$A$1:$I$89,5,0)</f>
        <v>-1.9065282685915009E-13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490.96084572840579</v>
      </c>
      <c r="CE200" s="59">
        <f t="shared" si="207"/>
        <v>597.91658789908263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22.713604308365383</v>
      </c>
      <c r="CL200" s="21">
        <f>EXP(-LN(2)/25)*CL199+(1-EXP(-LN(2)/25))/(LN(2)/25)*Calculateur!CG200*Calculateur!CI200*VLOOKUP('Données projet'!$B$12,Paramètres!$A$1:$I$89,3,0)*0.475*44/12</f>
        <v>1.8916134271751581</v>
      </c>
      <c r="CM200" s="21">
        <f>EXP(-LN(2)/2)*CM199+(1-EXP(-LN(2)/2))/(LN(2)/2)*CG200*CJ200*VLOOKUP('Données projet'!$B$12,Paramètres!$A$1:$I$89,3,0)*0.475*44/12</f>
        <v>8.7980849654977799E-19</v>
      </c>
      <c r="CN200" s="22">
        <f t="shared" si="172"/>
        <v>24.605217735540542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-1.064108801074326E-13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482.28841373508675</v>
      </c>
      <c r="T201" s="59">
        <f t="shared" si="204"/>
        <v>746.97309214631684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31.462599295197666</v>
      </c>
      <c r="AA201" s="21">
        <f>EXP(-LN(2)/25)*AA200+(1-EXP(-LN(2)/25))/(LN(2)/25)*Calculateur!V201*Calculateur!X201*VLOOKUP('Données projet'!$B$9,Paramètres!$A$1:$I$89,3,0)*0.475*44/12</f>
        <v>2.6325448585570976</v>
      </c>
      <c r="AB201" s="21">
        <f>EXP(-LN(2)/2)*AB200+(1-EXP(-LN(2)/2))/(LN(2)/2)*V201*Y201*VLOOKUP('Données projet'!$B$9,Paramètres!$A$1:$I$89,3,0)*0.475*44/12</f>
        <v>3.5638490596619551E-17</v>
      </c>
      <c r="AC201" s="22">
        <f t="shared" si="163"/>
        <v>34.095144153754767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-5.3205440053716299E-14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259.91478350500478</v>
      </c>
      <c r="AO201" s="59">
        <f t="shared" si="205"/>
        <v>192.27194887051007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34.158197537047613</v>
      </c>
      <c r="AV201" s="21">
        <f>EXP(-LN(2)/25)*AV200+(1-EXP(-LN(2)/25))/(LN(2)/25)*Calculateur!AQ201*Calculateur!AS201*VLOOKUP('Données projet'!$B$10,Paramètres!$A$1:$I$89,3,0)*0.475*44/12</f>
        <v>3.5784584317579675</v>
      </c>
      <c r="AW201" s="21">
        <f>EXP(-LN(2)/2)*AW200+(1-EXP(-LN(2)/2))/(LN(2)/2)*AQ201*AT201*VLOOKUP('Données projet'!$B$10,Paramètres!$A$1:$I$89,3,0)*0.475*44/12</f>
        <v>8.4751159006196677E-14</v>
      </c>
      <c r="AX201" s="21">
        <f t="shared" si="166"/>
        <v>37.736655968805664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-1.3596945791505279E-13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284.60021367910457</v>
      </c>
      <c r="BJ201" s="59">
        <f t="shared" si="206"/>
        <v>301.41905904220812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14.454606367143709</v>
      </c>
      <c r="BQ201" s="21">
        <f>EXP(-LN(2)/25)*BQ200+(1-EXP(-LN(2)/25))/(LN(2)/25)*Calculateur!BL201*Calculateur!BN201*VLOOKUP('Données projet'!$B$11,Paramètres!$A$1:$I$89,3,0)*0.475*44/12</f>
        <v>1.1675802457312712</v>
      </c>
      <c r="BR201" s="21">
        <f>EXP(-LN(2)/2)*BR200+(1-EXP(-LN(2)/2))/(LN(2)/2)*BL201*BO201*VLOOKUP('Données projet'!$B$11,Paramètres!$A$1:$I$89,3,0)*0.475*44/12</f>
        <v>4.8175354962651538E-19</v>
      </c>
      <c r="BS201" s="22">
        <f t="shared" si="169"/>
        <v>15.62218661287498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-3.4106051316484809E-13</v>
      </c>
      <c r="BZ201" s="13">
        <f>BY201*VLOOKUP('Données projet'!$B$12,Paramètres!$A$1:$I$89,3,0)*VLOOKUP('Données projet'!$B$12,Paramètres!$A$1:$I$89,5,0)</f>
        <v>-1.9065282685915009E-13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490.96084572840579</v>
      </c>
      <c r="CE201" s="59">
        <f t="shared" si="207"/>
        <v>597.91658789908263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22.268204381809003</v>
      </c>
      <c r="CL201" s="21">
        <f>EXP(-LN(2)/25)*CL200+(1-EXP(-LN(2)/25))/(LN(2)/25)*Calculateur!CG201*Calculateur!CI201*VLOOKUP('Données projet'!$B$12,Paramètres!$A$1:$I$89,3,0)*0.475*44/12</f>
        <v>1.8398871585334267</v>
      </c>
      <c r="CM201" s="21">
        <f>EXP(-LN(2)/2)*CM200+(1-EXP(-LN(2)/2))/(LN(2)/2)*CG201*CJ201*VLOOKUP('Données projet'!$B$12,Paramètres!$A$1:$I$89,3,0)*0.475*44/12</f>
        <v>6.2211855405588923E-19</v>
      </c>
      <c r="CN201" s="22">
        <f t="shared" si="172"/>
        <v>24.108091540342429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-1.064108801074326E-13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482.28841373508675</v>
      </c>
      <c r="T202" s="59">
        <f t="shared" si="204"/>
        <v>746.97309214631684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30.845636913309527</v>
      </c>
      <c r="AA202" s="21">
        <f>EXP(-LN(2)/25)*AA201+(1-EXP(-LN(2)/25))/(LN(2)/25)*Calculateur!V202*Calculateur!X202*VLOOKUP('Données projet'!$B$9,Paramètres!$A$1:$I$89,3,0)*0.475*44/12</f>
        <v>2.5605577809603366</v>
      </c>
      <c r="AB202" s="21">
        <f>EXP(-LN(2)/2)*AB201+(1-EXP(-LN(2)/2))/(LN(2)/2)*V202*Y202*VLOOKUP('Données projet'!$B$9,Paramètres!$A$1:$I$89,3,0)*0.475*44/12</f>
        <v>2.5200218372122692E-17</v>
      </c>
      <c r="AC202" s="22">
        <f t="shared" si="163"/>
        <v>33.406194694269864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-5.3205440053716299E-14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259.91478350500478</v>
      </c>
      <c r="AO202" s="59">
        <f t="shared" si="205"/>
        <v>192.27194887051007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33.488376117789379</v>
      </c>
      <c r="AV202" s="21">
        <f>EXP(-LN(2)/25)*AV201+(1-EXP(-LN(2)/25))/(LN(2)/25)*Calculateur!AQ202*Calculateur!AS202*VLOOKUP('Données projet'!$B$10,Paramètres!$A$1:$I$89,3,0)*0.475*44/12</f>
        <v>3.4806052977585957</v>
      </c>
      <c r="AW202" s="21">
        <f>EXP(-LN(2)/2)*AW201+(1-EXP(-LN(2)/2))/(LN(2)/2)*AQ202*AT202*VLOOKUP('Données projet'!$B$10,Paramètres!$A$1:$I$89,3,0)*0.475*44/12</f>
        <v>5.9928119246701008E-14</v>
      </c>
      <c r="AX202" s="21">
        <f t="shared" si="166"/>
        <v>36.968981415548029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-1.3596945791505279E-13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284.60021367910457</v>
      </c>
      <c r="BJ202" s="59">
        <f t="shared" si="206"/>
        <v>301.41905904220812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14.171160352723353</v>
      </c>
      <c r="BQ202" s="21">
        <f>EXP(-LN(2)/25)*BQ201+(1-EXP(-LN(2)/25))/(LN(2)/25)*Calculateur!BL202*Calculateur!BN202*VLOOKUP('Données projet'!$B$11,Paramètres!$A$1:$I$89,3,0)*0.475*44/12</f>
        <v>1.135652702511373</v>
      </c>
      <c r="BR202" s="21">
        <f>EXP(-LN(2)/2)*BR201+(1-EXP(-LN(2)/2))/(LN(2)/2)*BL202*BO202*VLOOKUP('Données projet'!$B$11,Paramètres!$A$1:$I$89,3,0)*0.475*44/12</f>
        <v>3.4065120180159898E-19</v>
      </c>
      <c r="BS202" s="22">
        <f t="shared" si="169"/>
        <v>15.306813055234727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-3.4106051316484809E-13</v>
      </c>
      <c r="BZ202" s="13">
        <f>BY202*VLOOKUP('Données projet'!$B$12,Paramètres!$A$1:$I$89,3,0)*VLOOKUP('Données projet'!$B$12,Paramètres!$A$1:$I$89,5,0)</f>
        <v>-1.9065282685915009E-13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490.96084572840579</v>
      </c>
      <c r="CE202" s="59">
        <f t="shared" si="207"/>
        <v>597.91658789908263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21.831538476145266</v>
      </c>
      <c r="CL202" s="21">
        <f>EXP(-LN(2)/25)*CL201+(1-EXP(-LN(2)/25))/(LN(2)/25)*Calculateur!CG202*Calculateur!CI202*VLOOKUP('Données projet'!$B$12,Paramètres!$A$1:$I$89,3,0)*0.475*44/12</f>
        <v>1.7895753474278695</v>
      </c>
      <c r="CM202" s="21">
        <f>EXP(-LN(2)/2)*CM201+(1-EXP(-LN(2)/2))/(LN(2)/2)*CG202*CJ202*VLOOKUP('Données projet'!$B$12,Paramètres!$A$1:$I$89,3,0)*0.475*44/12</f>
        <v>4.39904248274889E-19</v>
      </c>
      <c r="CN202" s="22">
        <f t="shared" si="172"/>
        <v>23.621113823573136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-1.064108801074326E-13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482.28841373508675</v>
      </c>
      <c r="T203" s="59">
        <f t="shared" si="204"/>
        <v>746.97309214631684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30.240772787420319</v>
      </c>
      <c r="AA203" s="21">
        <f>EXP(-LN(2)/25)*AA202+(1-EXP(-LN(2)/25))/(LN(2)/25)*Calculateur!V203*Calculateur!X203*VLOOKUP('Données projet'!$B$9,Paramètres!$A$1:$I$89,3,0)*0.475*44/12</f>
        <v>2.4905391937860948</v>
      </c>
      <c r="AB203" s="21">
        <f>EXP(-LN(2)/2)*AB202+(1-EXP(-LN(2)/2))/(LN(2)/2)*V203*Y203*VLOOKUP('Données projet'!$B$9,Paramètres!$A$1:$I$89,3,0)*0.475*44/12</f>
        <v>1.7819245298309775E-17</v>
      </c>
      <c r="AC203" s="22">
        <f t="shared" si="163"/>
        <v>32.731311981206417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-5.3205440053716299E-14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259.91478350500478</v>
      </c>
      <c r="AO203" s="59">
        <f t="shared" si="205"/>
        <v>192.27194887051007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32.831689488012074</v>
      </c>
      <c r="AV203" s="21">
        <f>EXP(-LN(2)/25)*AV202+(1-EXP(-LN(2)/25))/(LN(2)/25)*Calculateur!AQ203*Calculateur!AS203*VLOOKUP('Données projet'!$B$10,Paramètres!$A$1:$I$89,3,0)*0.475*44/12</f>
        <v>3.3854279628543091</v>
      </c>
      <c r="AW203" s="21">
        <f>EXP(-LN(2)/2)*AW202+(1-EXP(-LN(2)/2))/(LN(2)/2)*AQ203*AT203*VLOOKUP('Données projet'!$B$10,Paramètres!$A$1:$I$89,3,0)*0.475*44/12</f>
        <v>4.2375579503098339E-14</v>
      </c>
      <c r="AX203" s="21">
        <f t="shared" si="166"/>
        <v>36.217117450866425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-1.3596945791505279E-13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284.60021367910457</v>
      </c>
      <c r="BJ203" s="59">
        <f t="shared" si="206"/>
        <v>301.41905904220812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13.893272541760783</v>
      </c>
      <c r="BQ203" s="21">
        <f>EXP(-LN(2)/25)*BQ202+(1-EXP(-LN(2)/25))/(LN(2)/25)*Calculateur!BL203*Calculateur!BN203*VLOOKUP('Données projet'!$B$11,Paramètres!$A$1:$I$89,3,0)*0.475*44/12</f>
        <v>1.1045982196398194</v>
      </c>
      <c r="BR203" s="21">
        <f>EXP(-LN(2)/2)*BR202+(1-EXP(-LN(2)/2))/(LN(2)/2)*BL203*BO203*VLOOKUP('Données projet'!$B$11,Paramètres!$A$1:$I$89,3,0)*0.475*44/12</f>
        <v>2.4087677481325769E-19</v>
      </c>
      <c r="BS203" s="22">
        <f t="shared" si="169"/>
        <v>14.997870761400602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-3.4106051316484809E-13</v>
      </c>
      <c r="BZ203" s="13">
        <f>BY203*VLOOKUP('Données projet'!$B$12,Paramètres!$A$1:$I$89,3,0)*VLOOKUP('Données projet'!$B$12,Paramètres!$A$1:$I$89,5,0)</f>
        <v>-1.9065282685915009E-13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490.96084572840579</v>
      </c>
      <c r="CE203" s="59">
        <f t="shared" si="207"/>
        <v>597.91658789908263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21.40343532255169</v>
      </c>
      <c r="CL203" s="21">
        <f>EXP(-LN(2)/25)*CL202+(1-EXP(-LN(2)/25))/(LN(2)/25)*Calculateur!CG203*Calculateur!CI203*VLOOKUP('Données projet'!$B$12,Paramètres!$A$1:$I$89,3,0)*0.475*44/12</f>
        <v>1.7406393154427771</v>
      </c>
      <c r="CM203" s="21">
        <f>EXP(-LN(2)/2)*CM202+(1-EXP(-LN(2)/2))/(LN(2)/2)*CG203*CJ203*VLOOKUP('Données projet'!$B$12,Paramètres!$A$1:$I$89,3,0)*0.475*44/12</f>
        <v>3.1105927702794462E-19</v>
      </c>
      <c r="CN203" s="22">
        <f t="shared" si="172"/>
        <v>23.144074637994468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1.4714192565876152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>
        <f>EXP(LN('Données projet'!B88)/'Données projet'!A88)</f>
        <v>1.3239616704988877</v>
      </c>
      <c r="BV205" s="82">
        <f>EXP(LN('Données projet'!B114)/'Données projet'!A114)</f>
        <v>1.4037863041747067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7" zoomScale="90" zoomScaleNormal="90" workbookViewId="0">
      <selection activeCell="K5" sqref="K5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Mélèze d'Europe</v>
      </c>
      <c r="B6" s="146">
        <f>'Données projet'!D9</f>
        <v>2.9146551724137932</v>
      </c>
      <c r="C6" s="147">
        <f ca="1">IF(OR('Données projet'!B9="",'Données projet'!C9="",'Données projet'!C9=0%),0,Calculateur!S3)</f>
        <v>482.28841373508675</v>
      </c>
      <c r="D6" s="147">
        <f>IF(OR('Données projet'!B9="",'Données projet'!C9="",'Données projet'!C9=0%),0,Calculateur!T3)</f>
        <v>746.97309214631684</v>
      </c>
      <c r="E6" s="147">
        <f ca="1">MIN(C6,D6)</f>
        <v>482.28841373508675</v>
      </c>
      <c r="F6" s="147">
        <f ca="1">E6*B6</f>
        <v>1405.7044196882141</v>
      </c>
      <c r="G6" s="147">
        <f ca="1">F6*(100%-'Données projet'!$C$24)*(100%-'Données projet'!$C$25)*(100%-'Données projet'!$C$26)*(100%-'Données projet'!$C$27)</f>
        <v>1201.8772788334231</v>
      </c>
      <c r="H6" s="148">
        <f>IF(OR('Données projet'!B9="",'Données projet'!C9="",'Données projet'!C9=0%),0,AVERAGE(Calculateur!$AC$3:$AC$33)*B6)</f>
        <v>5.2719495149991582</v>
      </c>
      <c r="I6" s="149">
        <f>H6*(100%-'Données projet'!$C$24)*(100%-'Données projet'!$C$25)*(100%-'Données projet'!$C$26)*(100%-'Données projet'!$C$27)</f>
        <v>4.5075168353242798</v>
      </c>
      <c r="J6" s="150">
        <f>IF(OR('Données projet'!B9="",'Données projet'!C9="",'Données projet'!C9=0%),0,SUM(Calculateur!$V$3:$V$33)*VLOOKUP('Données projet'!$B$9,Paramètres!$A$1:$I$89,9,0)*B6)</f>
        <v>134.10328448275862</v>
      </c>
      <c r="K6" s="151">
        <f>J6*(100%-'Données projet'!$C$24)*(100%-'Données projet'!$C$25)*(100%-'Données projet'!$C$26)*(100%-'Données projet'!$C$27)</f>
        <v>114.65830823275861</v>
      </c>
      <c r="L6" s="152">
        <f ca="1">G6+I6+K6</f>
        <v>1321.0431039015059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Cèdre de l'Atlas</v>
      </c>
      <c r="B7" s="154">
        <f>'Données projet'!D10</f>
        <v>0.83275862068965523</v>
      </c>
      <c r="C7" s="147">
        <f ca="1">IF(OR('Données projet'!B10="",'Données projet'!C10="",'Données projet'!C10=0%),0,Calculateur!AN3)</f>
        <v>259.91478350500478</v>
      </c>
      <c r="D7" s="147">
        <f>IF(OR('Données projet'!B10="",'Données projet'!C10="",'Données projet'!C10=0%),0,Calculateur!AO3)</f>
        <v>192.27194887051007</v>
      </c>
      <c r="E7" s="147">
        <f t="shared" ref="E7:E15" ca="1" si="0">MIN(C7,D7)</f>
        <v>192.27194887051007</v>
      </c>
      <c r="F7" s="147">
        <f t="shared" ref="F7:F15" ca="1" si="1">E7*B7</f>
        <v>160.11612293871789</v>
      </c>
      <c r="G7" s="147">
        <f ca="1">F7*(100%-'Données projet'!$C$24)*(100%-'Données projet'!$C$25)*(100%-'Données projet'!$C$26)*(100%-'Données projet'!$C$27)</f>
        <v>136.89928511260379</v>
      </c>
      <c r="H7" s="155">
        <f>IF(OR('Données projet'!B10="",'Données projet'!C10="",'Données projet'!C10=0%),0,AVERAGE(Calculateur!$AX$3:$AX$33)*B7)</f>
        <v>2.6445868113375046</v>
      </c>
      <c r="I7" s="149">
        <f>H7*(100%-'Données projet'!$C$24)*(100%-'Données projet'!$C$25)*(100%-'Données projet'!$C$26)*(100%-'Données projet'!$C$27)</f>
        <v>2.2611217236935661</v>
      </c>
      <c r="J7" s="150">
        <f>IF(OR('Données projet'!B10="",'Données projet'!C10="",'Données projet'!C10=0%),0,SUM(Calculateur!$AQ$3:$AQ$33)*VLOOKUP('Données projet'!$B$10,Paramètres!$A$1:$I$89,9,0)*B7)</f>
        <v>26.956729655172413</v>
      </c>
      <c r="K7" s="151">
        <f>J7*(100%-'Données projet'!$C$24)*(100%-'Données projet'!$C$25)*(100%-'Données projet'!$C$26)*(100%-'Données projet'!$C$27)</f>
        <v>23.048003855172414</v>
      </c>
      <c r="L7" s="152">
        <f t="shared" ref="L7:L15" ca="1" si="2">G7+I7+K7</f>
        <v>162.20841069146979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Pin laricio</v>
      </c>
      <c r="B8" s="154">
        <f>'Données projet'!D11</f>
        <v>2.9979310344827588</v>
      </c>
      <c r="C8" s="147">
        <f ca="1">IF(OR('Données projet'!B11="",'Données projet'!C11="",'Données projet'!C11=0%),0,Calculateur!BI3)</f>
        <v>284.60021367910457</v>
      </c>
      <c r="D8" s="147">
        <f>IF(OR('Données projet'!B11="",'Données projet'!C11="",'Données projet'!C11=0%),0,Calculateur!BJ3)</f>
        <v>301.41905904220812</v>
      </c>
      <c r="E8" s="147">
        <f t="shared" ca="1" si="0"/>
        <v>284.60021367910457</v>
      </c>
      <c r="F8" s="147">
        <f t="shared" ca="1" si="1"/>
        <v>853.21181300901219</v>
      </c>
      <c r="G8" s="147">
        <f ca="1">F8*(100%-'Données projet'!$C$24)*(100%-'Données projet'!$C$25)*(100%-'Données projet'!$C$26)*(100%-'Données projet'!$C$27)</f>
        <v>729.49610012270534</v>
      </c>
      <c r="H8" s="155">
        <f>IF(OR('Données projet'!B11="",'Données projet'!C11="",'Données projet'!C11=0%),0,AVERAGE(Calculateur!$BS$3:$BS$33)*B8)</f>
        <v>18.895676486760888</v>
      </c>
      <c r="I8" s="149">
        <f>H8*(100%-'Données projet'!$C$24)*(100%-'Données projet'!$C$25)*(100%-'Données projet'!$C$26)*(100%-'Données projet'!$C$27)</f>
        <v>16.155803396180559</v>
      </c>
      <c r="J8" s="150">
        <f>IF(OR('Données projet'!B11="",'Données projet'!C11="",'Données projet'!C11=0%),0,SUM(Calculateur!$BL$3:$BL$33)*VLOOKUP('Données projet'!$B$11,Paramètres!$A$1:$I$89,9,0)*B8)</f>
        <v>154.69324137931036</v>
      </c>
      <c r="K8" s="151">
        <f>J8*(100%-'Données projet'!$C$24)*(100%-'Données projet'!$C$25)*(100%-'Données projet'!$C$26)*(100%-'Données projet'!$C$27)</f>
        <v>132.26272137931036</v>
      </c>
      <c r="L8" s="152">
        <f t="shared" ca="1" si="2"/>
        <v>877.91462489819628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Douglas</v>
      </c>
      <c r="B9" s="154">
        <f>'Données projet'!D12</f>
        <v>2.9146551724137932</v>
      </c>
      <c r="C9" s="147">
        <f ca="1">IF(OR('Données projet'!B12="",'Données projet'!C12="",'Données projet'!C12=0%),0,Calculateur!CD3)</f>
        <v>490.96084572840579</v>
      </c>
      <c r="D9" s="147">
        <f>IF(OR('Données projet'!B12="",'Données projet'!C12="",'Données projet'!C12=0%),0,Calculateur!CE3)</f>
        <v>597.91658789908263</v>
      </c>
      <c r="E9" s="147">
        <f t="shared" ca="1" si="0"/>
        <v>490.96084572840579</v>
      </c>
      <c r="F9" s="147">
        <f t="shared" ca="1" si="1"/>
        <v>1430.9815684549483</v>
      </c>
      <c r="G9" s="147">
        <f ca="1">F9*(100%-'Données projet'!$C$24)*(100%-'Données projet'!$C$25)*(100%-'Données projet'!$C$26)*(100%-'Données projet'!$C$27)</f>
        <v>1223.4892410289808</v>
      </c>
      <c r="H9" s="155">
        <f>IF(OR('Données projet'!B12="",'Données projet'!C12="",'Données projet'!C12=0%),0,AVERAGE(Calculateur!$CN$3:$CN$33)*B9)</f>
        <v>29.068514488128272</v>
      </c>
      <c r="I9" s="149">
        <f>H9*(100%-'Données projet'!$C$24)*(100%-'Données projet'!$C$25)*(100%-'Données projet'!$C$26)*(100%-'Données projet'!$C$27)</f>
        <v>24.853579887349671</v>
      </c>
      <c r="J9" s="150">
        <f>IF(OR('Données projet'!B12="",'Données projet'!C12="",'Données projet'!C12=0%),0,SUM(Calculateur!$CG$3:$CG$33)*VLOOKUP('Données projet'!$B$12,Paramètres!$A$1:$I$89,9,0)*B9)</f>
        <v>241.88723275862068</v>
      </c>
      <c r="K9" s="151">
        <f>J9*(100%-'Données projet'!$C$24)*(100%-'Données projet'!$C$25)*(100%-'Données projet'!$C$26)*(100%-'Données projet'!$C$27)</f>
        <v>206.81358400862069</v>
      </c>
      <c r="L9" s="152">
        <f t="shared" ca="1" si="2"/>
        <v>1455.1564049249512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3850.013924090892</v>
      </c>
      <c r="G16" s="166">
        <f t="shared" ca="1" si="3"/>
        <v>3291.7619050977132</v>
      </c>
      <c r="H16" s="167">
        <f t="shared" si="3"/>
        <v>55.880727301225825</v>
      </c>
      <c r="I16" s="167">
        <f t="shared" si="3"/>
        <v>47.778021842548071</v>
      </c>
      <c r="J16" s="168">
        <f t="shared" si="3"/>
        <v>557.64048827586214</v>
      </c>
      <c r="K16" s="168">
        <f t="shared" si="3"/>
        <v>476.78261747586208</v>
      </c>
      <c r="L16" s="169">
        <f t="shared" ca="1" si="3"/>
        <v>3816.3225444161226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Mélèze d'Europe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80" zoomScaleNormal="80" workbookViewId="0">
      <selection activeCell="C127" sqref="C12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Mélèze d'Europe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497.32923580554393</v>
      </c>
      <c r="U10" s="178">
        <f>'Données projet'!D9</f>
        <v>2.9146551724137932</v>
      </c>
      <c r="V10" s="177">
        <f>U10*T10</f>
        <v>1449.5432295332278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1417.4737122788611</v>
      </c>
      <c r="U11" s="178">
        <f>'Données projet'!D10</f>
        <v>0.83275862068965523</v>
      </c>
      <c r="V11" s="177">
        <f t="shared" ref="V11" si="0">U11*T11</f>
        <v>1180.4134535011895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1566.4630694622454</v>
      </c>
      <c r="U12" s="178">
        <f>'Données projet'!D11</f>
        <v>2.9979310344827588</v>
      </c>
      <c r="V12" s="177">
        <f t="shared" ref="V12:V19" si="1">U12*T12</f>
        <v>4696.1482503119869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Douglas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3882.9586024376822</v>
      </c>
      <c r="U13" s="178">
        <f>'Données projet'!D12</f>
        <v>2.9146551724137932</v>
      </c>
      <c r="V13" s="177">
        <f t="shared" si="1"/>
        <v>11317.485374863625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Mélèze d'Europe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688.40579710144925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v>500</v>
      </c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>
        <v>500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>
        <v>500</v>
      </c>
      <c r="F20" s="230"/>
      <c r="G20" s="289"/>
      <c r="H20" s="190">
        <v>1</v>
      </c>
      <c r="I20" s="191">
        <v>900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>
        <v>500</v>
      </c>
      <c r="F21" s="230"/>
      <c r="H21" s="190">
        <v>1</v>
      </c>
      <c r="I21" s="191">
        <v>1561.0766045548653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>
        <v>500</v>
      </c>
      <c r="F22" s="230"/>
      <c r="H22" s="190">
        <v>1</v>
      </c>
      <c r="I22" s="191">
        <v>180.12422360248448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1</v>
      </c>
      <c r="I23" s="191">
        <v>455.4865424430642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-16453.060409493319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18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>
        <v>1</v>
      </c>
      <c r="I24" s="191">
        <v>700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24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-16453.060409493319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30</v>
      </c>
      <c r="B26" s="181">
        <f>'Données projet'!D39</f>
        <v>107</v>
      </c>
      <c r="C26" s="193">
        <v>10</v>
      </c>
      <c r="D26" s="182">
        <f t="shared" si="2"/>
        <v>1070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36</v>
      </c>
      <c r="B27" s="181">
        <f>'Données projet'!D40</f>
        <v>119</v>
      </c>
      <c r="C27" s="193">
        <v>18</v>
      </c>
      <c r="D27" s="182">
        <f t="shared" si="2"/>
        <v>2142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42</v>
      </c>
      <c r="B28" s="181">
        <f>'Données projet'!D41</f>
        <v>121</v>
      </c>
      <c r="C28" s="193">
        <v>25</v>
      </c>
      <c r="D28" s="182">
        <f t="shared" si="2"/>
        <v>3025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48</v>
      </c>
      <c r="B29" s="181">
        <f>'Données projet'!D42</f>
        <v>123</v>
      </c>
      <c r="C29" s="193">
        <v>25</v>
      </c>
      <c r="D29" s="182">
        <f t="shared" si="2"/>
        <v>3075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54</v>
      </c>
      <c r="B30" s="181">
        <f>'Données projet'!D43</f>
        <v>119</v>
      </c>
      <c r="C30" s="193">
        <v>35</v>
      </c>
      <c r="D30" s="182">
        <f t="shared" si="2"/>
        <v>4165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60</v>
      </c>
      <c r="B31" s="181">
        <f>'Données projet'!D44</f>
        <v>112</v>
      </c>
      <c r="C31" s="193">
        <v>40</v>
      </c>
      <c r="D31" s="182">
        <f t="shared" si="2"/>
        <v>4480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66</v>
      </c>
      <c r="B32" s="181">
        <f>'Données projet'!D45</f>
        <v>109</v>
      </c>
      <c r="C32" s="193">
        <v>45</v>
      </c>
      <c r="D32" s="182">
        <f t="shared" si="2"/>
        <v>4905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72</v>
      </c>
      <c r="B33" s="181">
        <f>'Données projet'!D46</f>
        <v>101</v>
      </c>
      <c r="C33" s="193">
        <v>55</v>
      </c>
      <c r="D33" s="182">
        <f t="shared" si="2"/>
        <v>5555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78</v>
      </c>
      <c r="B34" s="181">
        <f>'Données projet'!D47</f>
        <v>426</v>
      </c>
      <c r="C34" s="193">
        <v>55</v>
      </c>
      <c r="D34" s="182">
        <f t="shared" si="2"/>
        <v>23430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248.44720496894411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20</v>
      </c>
      <c r="B54" s="181">
        <f>'Données projet'!D62</f>
        <v>31.6</v>
      </c>
      <c r="C54" s="191">
        <v>10</v>
      </c>
      <c r="D54" s="179">
        <f>B54*C54</f>
        <v>316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30</v>
      </c>
      <c r="B55" s="181">
        <f>'Données projet'!D63</f>
        <v>43.680000000000007</v>
      </c>
      <c r="C55" s="191">
        <v>18</v>
      </c>
      <c r="D55" s="179">
        <f t="shared" ref="D55:D73" si="4">B55*C55</f>
        <v>786.24000000000012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40</v>
      </c>
      <c r="B56" s="181">
        <f>'Données projet'!D64</f>
        <v>54.94400000000001</v>
      </c>
      <c r="C56" s="191">
        <v>25</v>
      </c>
      <c r="D56" s="179">
        <f t="shared" si="4"/>
        <v>1373.6000000000001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50</v>
      </c>
      <c r="B57" s="181">
        <f>'Données projet'!D65</f>
        <v>66.955200000000005</v>
      </c>
      <c r="C57" s="191">
        <v>35</v>
      </c>
      <c r="D57" s="179">
        <f t="shared" si="4"/>
        <v>2343.4320000000002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60</v>
      </c>
      <c r="B58" s="181">
        <f>'Données projet'!D66</f>
        <v>80.564160000000015</v>
      </c>
      <c r="C58" s="191">
        <v>40</v>
      </c>
      <c r="D58" s="179">
        <f t="shared" si="4"/>
        <v>3222.5664000000006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70</v>
      </c>
      <c r="B59" s="181">
        <f>'Données projet'!D67</f>
        <v>95.451328000000004</v>
      </c>
      <c r="C59" s="191">
        <v>45</v>
      </c>
      <c r="D59" s="179">
        <f t="shared" si="4"/>
        <v>4295.3097600000001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80</v>
      </c>
      <c r="B60" s="181">
        <f>'Données projet'!D68</f>
        <v>110.36106239999999</v>
      </c>
      <c r="C60" s="191">
        <v>45</v>
      </c>
      <c r="D60" s="179">
        <f t="shared" si="4"/>
        <v>4966.2478080000001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90</v>
      </c>
      <c r="B61" s="181">
        <f>'Données projet'!D69</f>
        <v>123.28884991999999</v>
      </c>
      <c r="C61" s="191">
        <v>56</v>
      </c>
      <c r="D61" s="179">
        <f t="shared" si="4"/>
        <v>6904.1755955199997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100</v>
      </c>
      <c r="B62" s="181">
        <f>'Données projet'!D70</f>
        <v>678.15539967999996</v>
      </c>
      <c r="C62" s="191">
        <v>56</v>
      </c>
      <c r="D62" s="179">
        <f t="shared" si="4"/>
        <v>37976.702382079995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857.14285714285711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17</v>
      </c>
      <c r="B85" s="181">
        <f>'Données projet'!D88</f>
        <v>15</v>
      </c>
      <c r="C85" s="191">
        <v>10</v>
      </c>
      <c r="D85" s="179">
        <f>B85*C85</f>
        <v>150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20</v>
      </c>
      <c r="B86" s="181">
        <f>'Données projet'!D89</f>
        <v>15</v>
      </c>
      <c r="C86" s="191">
        <v>10</v>
      </c>
      <c r="D86" s="179">
        <f t="shared" ref="D86:D104" si="6">B86*C86</f>
        <v>150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25</v>
      </c>
      <c r="B87" s="181">
        <f>'Données projet'!D90</f>
        <v>36</v>
      </c>
      <c r="C87" s="191">
        <v>10</v>
      </c>
      <c r="D87" s="179">
        <f t="shared" si="6"/>
        <v>360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30</v>
      </c>
      <c r="B88" s="181">
        <f>'Données projet'!D91</f>
        <v>54</v>
      </c>
      <c r="C88" s="191">
        <v>15</v>
      </c>
      <c r="D88" s="179">
        <f t="shared" si="6"/>
        <v>810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35</v>
      </c>
      <c r="B89" s="181">
        <f>'Données projet'!D92</f>
        <v>55</v>
      </c>
      <c r="C89" s="191">
        <v>25</v>
      </c>
      <c r="D89" s="179">
        <f t="shared" si="6"/>
        <v>1375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40</v>
      </c>
      <c r="B90" s="181">
        <f>'Données projet'!D93</f>
        <v>48</v>
      </c>
      <c r="C90" s="191">
        <v>25</v>
      </c>
      <c r="D90" s="179">
        <f t="shared" si="6"/>
        <v>1200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45</v>
      </c>
      <c r="B91" s="181">
        <f>'Données projet'!D94</f>
        <v>57</v>
      </c>
      <c r="C91" s="191">
        <v>25</v>
      </c>
      <c r="D91" s="179">
        <f t="shared" si="6"/>
        <v>1425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50</v>
      </c>
      <c r="B92" s="181">
        <f>'Données projet'!D95</f>
        <v>47</v>
      </c>
      <c r="C92" s="191">
        <v>25</v>
      </c>
      <c r="D92" s="179">
        <f t="shared" si="6"/>
        <v>1175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55</v>
      </c>
      <c r="B93" s="181">
        <f>'Données projet'!D96</f>
        <v>48</v>
      </c>
      <c r="C93" s="191">
        <v>30</v>
      </c>
      <c r="D93" s="179">
        <f t="shared" si="6"/>
        <v>1440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60</v>
      </c>
      <c r="B94" s="181">
        <f>'Données projet'!D97</f>
        <v>32</v>
      </c>
      <c r="C94" s="191">
        <v>35</v>
      </c>
      <c r="D94" s="179">
        <f t="shared" si="6"/>
        <v>1120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65</v>
      </c>
      <c r="B95" s="181">
        <f>'Données projet'!D98</f>
        <v>555</v>
      </c>
      <c r="C95" s="191">
        <v>40</v>
      </c>
      <c r="D95" s="179">
        <f t="shared" si="6"/>
        <v>22200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str">
        <f>IF(O98+1&lt;=MIN('Données projet'!$E$9:$E$18),O98+1,"STOP")</f>
        <v>STOP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Douglas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688.40579710144925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15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20</v>
      </c>
      <c r="B117" s="181">
        <f>'Données projet'!D115</f>
        <v>43</v>
      </c>
      <c r="C117" s="191">
        <v>10</v>
      </c>
      <c r="D117" s="179">
        <f t="shared" ref="D117:D135" si="8">B117*C117</f>
        <v>430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25</v>
      </c>
      <c r="B118" s="181">
        <f>'Données projet'!D116</f>
        <v>60</v>
      </c>
      <c r="C118" s="191">
        <v>10</v>
      </c>
      <c r="D118" s="179">
        <f t="shared" si="8"/>
        <v>600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30</v>
      </c>
      <c r="B119" s="181">
        <f>'Données projet'!D117</f>
        <v>90</v>
      </c>
      <c r="C119" s="191">
        <v>18</v>
      </c>
      <c r="D119" s="179">
        <f t="shared" si="8"/>
        <v>1620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35</v>
      </c>
      <c r="B120" s="181">
        <f>'Données projet'!D118</f>
        <v>72</v>
      </c>
      <c r="C120" s="191">
        <v>25</v>
      </c>
      <c r="D120" s="179">
        <f t="shared" si="8"/>
        <v>1800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40</v>
      </c>
      <c r="B121" s="181">
        <f>'Données projet'!D119</f>
        <v>77</v>
      </c>
      <c r="C121" s="191">
        <v>25</v>
      </c>
      <c r="D121" s="179">
        <f t="shared" si="8"/>
        <v>1925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45</v>
      </c>
      <c r="B122" s="181">
        <f>'Données projet'!D120</f>
        <v>64</v>
      </c>
      <c r="C122" s="191">
        <v>35</v>
      </c>
      <c r="D122" s="179">
        <f t="shared" si="8"/>
        <v>2240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50</v>
      </c>
      <c r="B123" s="181">
        <f>'Données projet'!D121</f>
        <v>62</v>
      </c>
      <c r="C123" s="191">
        <v>40</v>
      </c>
      <c r="D123" s="179">
        <f t="shared" si="8"/>
        <v>2480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55</v>
      </c>
      <c r="B124" s="181">
        <f>'Données projet'!D122</f>
        <v>46</v>
      </c>
      <c r="C124" s="191">
        <v>45</v>
      </c>
      <c r="D124" s="179">
        <f t="shared" si="8"/>
        <v>2070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60</v>
      </c>
      <c r="B125" s="181">
        <f>'Données projet'!D123</f>
        <v>35</v>
      </c>
      <c r="C125" s="191">
        <v>55</v>
      </c>
      <c r="D125" s="179">
        <f t="shared" si="8"/>
        <v>1925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65</v>
      </c>
      <c r="B126" s="181">
        <f>'Données projet'!D124</f>
        <v>769</v>
      </c>
      <c r="C126" s="191">
        <v>55</v>
      </c>
      <c r="D126" s="179">
        <f t="shared" si="8"/>
        <v>42295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1" ma:contentTypeDescription="Create a new document." ma:contentTypeScope="" ma:versionID="ec80df7fd7d6670535e3d780fbb8aeb0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6506f06a3204777a9dcd1d61ec4f62cf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8856D8-1509-40A2-A15A-1C0358FC3557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4D58FA74-5433-459E-AADA-F359A87896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666E38-95CB-419F-9842-AF7B9EB906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EVEN</cp:lastModifiedBy>
  <dcterms:created xsi:type="dcterms:W3CDTF">2021-02-01T08:22:39Z</dcterms:created>
  <dcterms:modified xsi:type="dcterms:W3CDTF">2023-10-18T15:59:26Z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26f538-337a-4593-a7e6-123667b1a538_Enabled">
    <vt:lpwstr>true</vt:lpwstr>
  </property>
  <property fmtid="{D5CDD505-2E9C-101B-9397-08002B2CF9AE}" pid="3" name="MSIP_Label_2d26f538-337a-4593-a7e6-123667b1a538_SetDate">
    <vt:lpwstr>2023-05-24T15:55:53Z</vt:lpwstr>
  </property>
  <property fmtid="{D5CDD505-2E9C-101B-9397-08002B2CF9AE}" pid="4" name="MSIP_Label_2d26f538-337a-4593-a7e6-123667b1a538_Method">
    <vt:lpwstr>Standard</vt:lpwstr>
  </property>
  <property fmtid="{D5CDD505-2E9C-101B-9397-08002B2CF9AE}" pid="5" name="MSIP_Label_2d26f538-337a-4593-a7e6-123667b1a538_Name">
    <vt:lpwstr>C1 Interne</vt:lpwstr>
  </property>
  <property fmtid="{D5CDD505-2E9C-101B-9397-08002B2CF9AE}" pid="6" name="MSIP_Label_2d26f538-337a-4593-a7e6-123667b1a538_SiteId">
    <vt:lpwstr>e242425b-70fc-44dc-9ddf-c21e304e6c80</vt:lpwstr>
  </property>
  <property fmtid="{D5CDD505-2E9C-101B-9397-08002B2CF9AE}" pid="7" name="MSIP_Label_2d26f538-337a-4593-a7e6-123667b1a538_ActionId">
    <vt:lpwstr>8cbb8c76-cf60-4695-9d8e-4582569f2eb1</vt:lpwstr>
  </property>
  <property fmtid="{D5CDD505-2E9C-101B-9397-08002B2CF9AE}" pid="8" name="MSIP_Label_2d26f538-337a-4593-a7e6-123667b1a538_ContentBits">
    <vt:lpwstr>0</vt:lpwstr>
  </property>
  <property fmtid="{D5CDD505-2E9C-101B-9397-08002B2CF9AE}" pid="9" name="ContentTypeId">
    <vt:lpwstr>0x010100B17917BD1DD3FD43A53AD9CE171726C7</vt:lpwstr>
  </property>
  <property fmtid="{D5CDD505-2E9C-101B-9397-08002B2CF9AE}" pid="10" name="MediaServiceImageTags">
    <vt:lpwstr/>
  </property>
</Properties>
</file>