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CALMELS ET LE VIALA (12) - MAS CAPELIE 2\Dossier final\"/>
    </mc:Choice>
  </mc:AlternateContent>
  <xr:revisionPtr revIDLastSave="0" documentId="13_ncr:1_{F06B3F57-5B6D-4FBD-AB6E-D39CF8B4136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<sst xmlns="http://schemas.openxmlformats.org/spreadsheetml/2006/main" count="1170" uniqueCount="324">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</sst>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9" zoomScale="90" zoomScaleNormal="90" workbookViewId="0">
      <selection activeCell="G71" sqref="G7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0.5</v>
      </c>
      <c r="D9" s="36">
        <f t="shared" ref="D9:D18" si="0">C9*$C$5</f>
        <v>2.5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0.5</v>
      </c>
      <c r="D10" s="36">
        <f t="shared" si="0"/>
        <v>2.5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27</v>
      </c>
      <c r="B36" s="63">
        <v>118</v>
      </c>
      <c r="C36" s="63">
        <v>1</v>
      </c>
      <c r="D36" s="63">
        <v>15</v>
      </c>
      <c r="E36" s="54">
        <v>0.3</v>
      </c>
      <c r="F36" s="54">
        <v>0.35</v>
      </c>
      <c r="G36" s="54">
        <v>0.35</v>
      </c>
      <c r="H36" s="54"/>
      <c r="I36" s="52">
        <f>IFERROR(B36/A36,"")</f>
        <v>4.3703703703703702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132</v>
      </c>
      <c r="C37" s="63">
        <v>2</v>
      </c>
      <c r="D37" s="63">
        <v>13</v>
      </c>
      <c r="E37" s="54">
        <v>0.7</v>
      </c>
      <c r="F37" s="54">
        <v>0.15</v>
      </c>
      <c r="G37" s="54">
        <v>0.15</v>
      </c>
      <c r="H37" s="54"/>
      <c r="I37" s="56">
        <f t="shared" ref="I37:I55" si="1">IF(A37&lt;&gt;0,(B37-(B36-D36))/(A37-A36),"")</f>
        <v>9.6666666666666661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169</v>
      </c>
      <c r="C38" s="63">
        <v>3</v>
      </c>
      <c r="D38" s="63">
        <v>23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208</v>
      </c>
      <c r="C39" s="63">
        <v>4</v>
      </c>
      <c r="D39" s="63">
        <v>34</v>
      </c>
      <c r="E39" s="54"/>
      <c r="F39" s="54"/>
      <c r="G39" s="54"/>
      <c r="H39" s="54"/>
      <c r="I39" s="52">
        <f t="shared" si="1"/>
        <v>12.4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315</v>
      </c>
      <c r="C40" s="63">
        <v>5</v>
      </c>
      <c r="D40" s="63">
        <v>79</v>
      </c>
      <c r="E40" s="54"/>
      <c r="F40" s="54"/>
      <c r="G40" s="54"/>
      <c r="H40" s="54"/>
      <c r="I40" s="52">
        <f t="shared" si="1"/>
        <v>14.1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60</v>
      </c>
      <c r="B41" s="63">
        <v>393</v>
      </c>
      <c r="C41" s="63">
        <v>6</v>
      </c>
      <c r="D41" s="63">
        <v>88</v>
      </c>
      <c r="E41" s="54"/>
      <c r="F41" s="54"/>
      <c r="G41" s="54"/>
      <c r="H41" s="54"/>
      <c r="I41" s="56">
        <f t="shared" si="1"/>
        <v>15.7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v>448</v>
      </c>
      <c r="C42" s="63">
        <v>7</v>
      </c>
      <c r="D42" s="63">
        <v>78</v>
      </c>
      <c r="E42" s="54"/>
      <c r="F42" s="54"/>
      <c r="G42" s="54"/>
      <c r="H42" s="54"/>
      <c r="I42" s="56">
        <f t="shared" si="1"/>
        <v>14.3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80</v>
      </c>
      <c r="B43" s="63">
        <v>460</v>
      </c>
      <c r="C43" s="63">
        <v>8</v>
      </c>
      <c r="D43" s="63">
        <v>460</v>
      </c>
      <c r="E43" s="54"/>
      <c r="F43" s="54"/>
      <c r="G43" s="54"/>
      <c r="H43" s="54"/>
      <c r="I43" s="52">
        <f t="shared" si="1"/>
        <v>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115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180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250</v>
      </c>
      <c r="C64" s="63">
        <v>3</v>
      </c>
      <c r="D64" s="63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257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337</v>
      </c>
      <c r="C66" s="63">
        <v>5</v>
      </c>
      <c r="D66" s="6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345</v>
      </c>
      <c r="C67" s="63">
        <v>6</v>
      </c>
      <c r="D67" s="6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353</v>
      </c>
      <c r="C68" s="63">
        <v>7</v>
      </c>
      <c r="D68" s="6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215.01135052017145</v>
      </c>
      <c r="T3" s="62">
        <f>IF('Données projet'!E9&gt;30,$R$33-$H$33,LOOKUP('Données projet'!$E$9,$A$3:$A$203,R3:R203)-LOOKUP('Données projet'!$E$9,$A$3:$A$203,$H$3:$H$203))</f>
        <v>136.68033570181791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165.12229410621887</v>
      </c>
      <c r="AO3" s="62">
        <f>IF('Données projet'!E10&gt;30,$AM$33-$H$33,LOOKUP('Données projet'!$E$10,$A$3:$A$203,AM3:AM203)-LOOKUP('Données projet'!$E$10,$A$3:$A$203,$H$3:$H$203))</f>
        <v>148.17171564653341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0.55900000000000005</v>
      </c>
      <c r="D4" s="12">
        <f>IFERROR(EXP(-1.0587+0.8836*LN(C4)+0.284),0)</f>
        <v>0.2756545328031752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6.4429472707613522</v>
      </c>
      <c r="H4" s="70">
        <f t="shared" ref="H4:H67" si="1">(B4+E4+F4)*44/12+(C4+D4)*0.475*44/12</f>
        <v>294.78702331129887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4.3703703703703702</v>
      </c>
      <c r="N4" s="14">
        <f>IF('Données projet'!$A$36&gt;35,N3+M4-V3,IF(A4&lt;'Données projet'!$A$36,$K$205^A4,IF(A4='Données projet'!$A$36,'Données projet'!$B$36,N3+M4-V3)))</f>
        <v>1.1932635389591795</v>
      </c>
      <c r="O4" s="14">
        <f>N4*VLOOKUP('Données projet'!$B$9,Paramètres!$A$1:$I$89,3,0)*VLOOKUP('Données projet'!$B$9,Paramètres!$A$1:$I$89,5,0)</f>
        <v>0.71357159629758937</v>
      </c>
      <c r="P4" s="14">
        <f>EXP(-1.0587+0.8836*LN(O4)+0.284)</f>
        <v>0.34201841351504586</v>
      </c>
      <c r="Q4" s="22">
        <f t="shared" ref="Q4:Q34" si="2">(O4+P4)*0.475*44/12</f>
        <v>1.8384859337570063</v>
      </c>
      <c r="R4" s="62">
        <f t="shared" si="0"/>
        <v>295.17181926709031</v>
      </c>
      <c r="S4" s="62">
        <f ca="1">AVERAGE(OFFSET($R$3,0,0,'Données projet'!$E$9+1,1))-AVERAGE(OFFSET($H$3,0,0,'Données projet'!$E$9+1,1))</f>
        <v>215.01135052017145</v>
      </c>
      <c r="T4" s="62">
        <f>$T$3</f>
        <v>136.68033570181791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294.87272302715274</v>
      </c>
      <c r="AN4" s="62">
        <f ca="1">AVERAGE(OFFSET($AM$3,0,0,'Données projet'!$E$10+1,1))-AVERAGE(OFFSET($H$3,0,0,'Données projet'!$E$10+1,1))</f>
        <v>165.12229410621887</v>
      </c>
      <c r="AO4" s="62">
        <f>$AO$3</f>
        <v>148.17171564653341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1.1180000000000001</v>
      </c>
      <c r="D5" s="12">
        <f t="shared" ref="D5:D68" si="32">IFERROR(EXP(-1.0587+0.8836*LN(C5)+0.284),0)</f>
        <v>0.50857527486356202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12.556019665613462</v>
      </c>
      <c r="H5" s="70">
        <f t="shared" si="1"/>
        <v>296.16628527038733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4.3703703703703702</v>
      </c>
      <c r="N5" s="14">
        <f>IF('Données projet'!$A$36&gt;35,N4+M5-V4,IF(A5&lt;'Données projet'!$A$36,$K$205^A5,IF(A5='Données projet'!$A$36,'Données projet'!$B$36,N4+M5-V4)))</f>
        <v>1.4238778734093853</v>
      </c>
      <c r="O5" s="14">
        <f>N5*VLOOKUP('Données projet'!$B$9,Paramètres!$A$1:$I$89,3,0)*VLOOKUP('Données projet'!$B$9,Paramètres!$A$1:$I$89,5,0)</f>
        <v>0.85147896829881242</v>
      </c>
      <c r="P5" s="14">
        <f t="shared" ref="P5:P68" si="33">EXP(-1.0587+0.8836*LN(O5)+0.284)</f>
        <v>0.39981008543020569</v>
      </c>
      <c r="Q5" s="22">
        <f t="shared" si="2"/>
        <v>2.179328435244706</v>
      </c>
      <c r="R5" s="62">
        <f t="shared" si="0"/>
        <v>295.51266176857803</v>
      </c>
      <c r="S5" s="62">
        <f ca="1">AVERAGE(OFFSET($R$3,0,0,'Données projet'!$E$9+1,1))-AVERAGE(OFFSET($H$3,0,0,'Données projet'!$E$9+1,1))</f>
        <v>215.01135052017145</v>
      </c>
      <c r="T5" s="62">
        <f t="shared" ref="T5:T68" si="34">$T$3</f>
        <v>136.68033570181791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295.26742630939128</v>
      </c>
      <c r="AN5" s="62">
        <f ca="1">AVERAGE(OFFSET($AM$3,0,0,'Données projet'!$E$10+1,1))-AVERAGE(OFFSET($H$3,0,0,'Données projet'!$E$10+1,1))</f>
        <v>165.12229410621887</v>
      </c>
      <c r="AO5" s="62">
        <f t="shared" ref="AO5:AO68" si="36">$AO$3</f>
        <v>148.17171564653341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1.677</v>
      </c>
      <c r="D6" s="12">
        <f t="shared" si="32"/>
        <v>0.72769514761613419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18.56255903422981</v>
      </c>
      <c r="H6" s="70">
        <f t="shared" si="1"/>
        <v>297.52151071543142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4.3703703703703702</v>
      </c>
      <c r="N6" s="14">
        <f>IF('Données projet'!$A$36&gt;35,N5+M6-V5,IF(A6&lt;'Données projet'!$A$36,$K$205^A6,IF(A6='Données projet'!$A$36,'Données projet'!$B$36,N5+M6-V5)))</f>
        <v>1.6990615502701536</v>
      </c>
      <c r="O6" s="14">
        <f>N6*VLOOKUP('Données projet'!$B$9,Paramètres!$A$1:$I$89,3,0)*VLOOKUP('Données projet'!$B$9,Paramètres!$A$1:$I$89,5,0)</f>
        <v>1.0160388070615518</v>
      </c>
      <c r="P6" s="14">
        <f t="shared" si="33"/>
        <v>0.46736695480483653</v>
      </c>
      <c r="Q6" s="22">
        <f t="shared" si="2"/>
        <v>2.5835983685839596</v>
      </c>
      <c r="R6" s="62">
        <f t="shared" si="0"/>
        <v>295.91693170191729</v>
      </c>
      <c r="S6" s="62">
        <f ca="1">AVERAGE(OFFSET($R$3,0,0,'Données projet'!$E$9+1,1))-AVERAGE(OFFSET($H$3,0,0,'Données projet'!$E$9+1,1))</f>
        <v>215.01135052017145</v>
      </c>
      <c r="T6" s="62">
        <f t="shared" si="34"/>
        <v>136.68033570181791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295.76373751603086</v>
      </c>
      <c r="AN6" s="62">
        <f ca="1">AVERAGE(OFFSET($AM$3,0,0,'Données projet'!$E$10+1,1))-AVERAGE(OFFSET($H$3,0,0,'Données projet'!$E$10+1,1))</f>
        <v>165.12229410621887</v>
      </c>
      <c r="AO6" s="62">
        <f t="shared" si="36"/>
        <v>148.17171564653341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2.2360000000000002</v>
      </c>
      <c r="D7" s="12">
        <f t="shared" si="32"/>
        <v>0.93830784341656304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24.503428966724346</v>
      </c>
      <c r="H7" s="70">
        <f t="shared" si="1"/>
        <v>298.8619194939505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4.3703703703703702</v>
      </c>
      <c r="N7" s="14">
        <f>IF('Données projet'!$A$36&gt;35,N6+M7-V6,IF(A7&lt;'Données projet'!$A$36,$K$205^A7,IF(A7='Données projet'!$A$36,'Données projet'!$B$36,N6+M7-V6)))</f>
        <v>2.0274281983848335</v>
      </c>
      <c r="O7" s="14">
        <f>N7*VLOOKUP('Données projet'!$B$9,Paramètres!$A$1:$I$89,3,0)*VLOOKUP('Données projet'!$B$9,Paramètres!$A$1:$I$89,5,0)</f>
        <v>1.2124020626341305</v>
      </c>
      <c r="P7" s="14">
        <f t="shared" si="33"/>
        <v>0.54633907048269681</v>
      </c>
      <c r="Q7" s="22">
        <f t="shared" si="2"/>
        <v>3.0631408068451407</v>
      </c>
      <c r="R7" s="62">
        <f t="shared" si="0"/>
        <v>296.39647414017844</v>
      </c>
      <c r="S7" s="62">
        <f ca="1">AVERAGE(OFFSET($R$3,0,0,'Données projet'!$E$9+1,1))-AVERAGE(OFFSET($H$3,0,0,'Données projet'!$E$9+1,1))</f>
        <v>215.01135052017145</v>
      </c>
      <c r="T7" s="62">
        <f t="shared" si="34"/>
        <v>136.68033570181791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296.3879120817773</v>
      </c>
      <c r="AN7" s="62">
        <f ca="1">AVERAGE(OFFSET($AM$3,0,0,'Données projet'!$E$10+1,1))-AVERAGE(OFFSET($H$3,0,0,'Données projet'!$E$10+1,1))</f>
        <v>165.12229410621887</v>
      </c>
      <c r="AO7" s="62">
        <f t="shared" si="36"/>
        <v>148.17171564653341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2.7950000000000004</v>
      </c>
      <c r="D8" s="12">
        <f t="shared" si="32"/>
        <v>1.1428126371791492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30.397150181733792</v>
      </c>
      <c r="H8" s="70">
        <f t="shared" si="1"/>
        <v>300.19169034308698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4.3703703703703702</v>
      </c>
      <c r="N8" s="14">
        <f>IF('Données projet'!$A$36&gt;35,N7+M8-V7,IF(A8&lt;'Données projet'!$A$36,$K$205^A8,IF(A8='Données projet'!$A$36,'Données projet'!$B$36,N7+M8-V7)))</f>
        <v>2.4192561469903198</v>
      </c>
      <c r="O8" s="14">
        <f>N8*VLOOKUP('Données projet'!$B$9,Paramètres!$A$1:$I$89,3,0)*VLOOKUP('Données projet'!$B$9,Paramètres!$A$1:$I$89,5,0)</f>
        <v>1.4467151759002115</v>
      </c>
      <c r="P8" s="14">
        <f t="shared" si="33"/>
        <v>0.63865529401953391</v>
      </c>
      <c r="Q8" s="22">
        <f t="shared" si="2"/>
        <v>3.6320202351102231</v>
      </c>
      <c r="R8" s="62">
        <f t="shared" si="0"/>
        <v>296.96535356844356</v>
      </c>
      <c r="S8" s="62">
        <f ca="1">AVERAGE(OFFSET($R$3,0,0,'Données projet'!$E$9+1,1))-AVERAGE(OFFSET($H$3,0,0,'Données projet'!$E$9+1,1))</f>
        <v>215.01135052017145</v>
      </c>
      <c r="T8" s="62">
        <f t="shared" si="34"/>
        <v>136.68033570181791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297.17301376129092</v>
      </c>
      <c r="AN8" s="62">
        <f ca="1">AVERAGE(OFFSET($AM$3,0,0,'Données projet'!$E$10+1,1))-AVERAGE(OFFSET($H$3,0,0,'Données projet'!$E$10+1,1))</f>
        <v>165.12229410621887</v>
      </c>
      <c r="AO8" s="62">
        <f t="shared" si="36"/>
        <v>148.17171564653341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3.3540000000000005</v>
      </c>
      <c r="D9" s="12">
        <f t="shared" si="32"/>
        <v>1.3425781754875348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36.254287670430102</v>
      </c>
      <c r="H9" s="70">
        <f t="shared" si="1"/>
        <v>301.5132069889741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4.3703703703703702</v>
      </c>
      <c r="N9" s="14">
        <f>IF('Données projet'!$A$36&gt;35,N8+M9-V8,IF(A9&lt;'Données projet'!$A$36,$K$205^A9,IF(A9='Données projet'!$A$36,'Données projet'!$B$36,N8+M9-V8)))</f>
        <v>2.8868101516064182</v>
      </c>
      <c r="O9" s="14">
        <f>N9*VLOOKUP('Données projet'!$B$9,Paramètres!$A$1:$I$89,3,0)*VLOOKUP('Données projet'!$B$9,Paramètres!$A$1:$I$89,5,0)</f>
        <v>1.7263124706606381</v>
      </c>
      <c r="P9" s="14">
        <f t="shared" si="33"/>
        <v>0.7465704113359678</v>
      </c>
      <c r="Q9" s="22">
        <f t="shared" si="2"/>
        <v>4.3069376861440878</v>
      </c>
      <c r="R9" s="62">
        <f t="shared" si="0"/>
        <v>297.64027101947738</v>
      </c>
      <c r="S9" s="62">
        <f ca="1">AVERAGE(OFFSET($R$3,0,0,'Données projet'!$E$9+1,1))-AVERAGE(OFFSET($H$3,0,0,'Données projet'!$E$9+1,1))</f>
        <v>215.01135052017145</v>
      </c>
      <c r="T9" s="62">
        <f t="shared" si="34"/>
        <v>136.68033570181791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298.16068588354318</v>
      </c>
      <c r="AN9" s="62">
        <f ca="1">AVERAGE(OFFSET($AM$3,0,0,'Données projet'!$E$10+1,1))-AVERAGE(OFFSET($H$3,0,0,'Données projet'!$E$10+1,1))</f>
        <v>165.12229410621887</v>
      </c>
      <c r="AO9" s="62">
        <f t="shared" si="36"/>
        <v>148.17171564653341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3.9130000000000007</v>
      </c>
      <c r="D10" s="12">
        <f t="shared" si="32"/>
        <v>1.5384867718747026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42.081652274120522</v>
      </c>
      <c r="H10" s="70">
        <f t="shared" si="1"/>
        <v>302.82800612768176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4.3703703703703702</v>
      </c>
      <c r="N10" s="14">
        <f>IF('Données projet'!$A$36&gt;35,N9+M10-V9,IF(A10&lt;'Données projet'!$A$36,$K$205^A10,IF(A10='Données projet'!$A$36,'Données projet'!$B$36,N9+M10-V9)))</f>
        <v>3.4447252978091596</v>
      </c>
      <c r="O10" s="14">
        <f>N10*VLOOKUP('Données projet'!$B$9,Paramètres!$A$1:$I$89,3,0)*VLOOKUP('Données projet'!$B$9,Paramètres!$A$1:$I$89,5,0)</f>
        <v>2.0599457280898776</v>
      </c>
      <c r="P10" s="14">
        <f t="shared" si="33"/>
        <v>0.87272020493939328</v>
      </c>
      <c r="Q10" s="22">
        <f t="shared" si="2"/>
        <v>5.1077265000259793</v>
      </c>
      <c r="R10" s="62">
        <f t="shared" si="0"/>
        <v>298.4410598333593</v>
      </c>
      <c r="S10" s="62">
        <f ca="1">AVERAGE(OFFSET($R$3,0,0,'Données projet'!$E$9+1,1))-AVERAGE(OFFSET($H$3,0,0,'Données projet'!$E$9+1,1))</f>
        <v>215.01135052017145</v>
      </c>
      <c r="T10" s="62">
        <f t="shared" si="34"/>
        <v>136.68033570181791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299.40338480880166</v>
      </c>
      <c r="AN10" s="62">
        <f ca="1">AVERAGE(OFFSET($AM$3,0,0,'Données projet'!$E$10+1,1))-AVERAGE(OFFSET($H$3,0,0,'Données projet'!$E$10+1,1))</f>
        <v>165.12229410621887</v>
      </c>
      <c r="AO10" s="62">
        <f t="shared" si="36"/>
        <v>148.17171564653341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4.4720000000000004</v>
      </c>
      <c r="D11" s="12">
        <f t="shared" si="32"/>
        <v>1.7311529925500933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47.883988012667395</v>
      </c>
      <c r="H11" s="70">
        <f t="shared" si="1"/>
        <v>304.1371581286914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4.3703703703703702</v>
      </c>
      <c r="N11" s="14">
        <f>IF('Données projet'!$A$36&gt;35,N10+M11-V10,IF(A11&lt;'Données projet'!$A$36,$K$205^A11,IF(A11='Données projet'!$A$36,'Données projet'!$B$36,N10+M11-V10)))</f>
        <v>4.110465099605972</v>
      </c>
      <c r="O11" s="14">
        <f>N11*VLOOKUP('Données projet'!$B$9,Paramètres!$A$1:$I$89,3,0)*VLOOKUP('Données projet'!$B$9,Paramètres!$A$1:$I$89,5,0)</f>
        <v>2.4580581295643715</v>
      </c>
      <c r="P11" s="14">
        <f t="shared" si="33"/>
        <v>1.0201858318313493</v>
      </c>
      <c r="Q11" s="22">
        <f t="shared" si="2"/>
        <v>6.0579415660975471</v>
      </c>
      <c r="R11" s="62">
        <f t="shared" si="0"/>
        <v>299.39127489943087</v>
      </c>
      <c r="S11" s="62">
        <f ca="1">AVERAGE(OFFSET($R$3,0,0,'Données projet'!$E$9+1,1))-AVERAGE(OFFSET($H$3,0,0,'Données projet'!$E$9+1,1))</f>
        <v>215.01135052017145</v>
      </c>
      <c r="T11" s="62">
        <f t="shared" si="34"/>
        <v>136.68033570181791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300.96719653267269</v>
      </c>
      <c r="AN11" s="62">
        <f ca="1">AVERAGE(OFFSET($AM$3,0,0,'Données projet'!$E$10+1,1))-AVERAGE(OFFSET($H$3,0,0,'Données projet'!$E$10+1,1))</f>
        <v>165.12229410621887</v>
      </c>
      <c r="AO11" s="62">
        <f t="shared" si="36"/>
        <v>148.17171564653341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5.0310000000000006</v>
      </c>
      <c r="D12" s="12">
        <f t="shared" si="32"/>
        <v>1.9210285514955543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53.664781801018329</v>
      </c>
      <c r="H12" s="70">
        <f t="shared" si="1"/>
        <v>305.44144972718806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4.3703703703703702</v>
      </c>
      <c r="N12" s="14">
        <f>IF('Données projet'!$A$36&gt;35,N11+M12-V11,IF(A12&lt;'Données projet'!$A$36,$K$205^A12,IF(A12='Données projet'!$A$36,'Données projet'!$B$36,N11+M12-V11)))</f>
        <v>4.9048681315240179</v>
      </c>
      <c r="O12" s="14">
        <f>N12*VLOOKUP('Données projet'!$B$9,Paramètres!$A$1:$I$89,3,0)*VLOOKUP('Données projet'!$B$9,Paramètres!$A$1:$I$89,5,0)</f>
        <v>2.9331111426513625</v>
      </c>
      <c r="P12" s="14">
        <f t="shared" si="33"/>
        <v>1.192569079504352</v>
      </c>
      <c r="Q12" s="22">
        <f t="shared" si="2"/>
        <v>7.1855597202545356</v>
      </c>
      <c r="R12" s="62">
        <f t="shared" si="0"/>
        <v>300.51889305358787</v>
      </c>
      <c r="S12" s="62">
        <f ca="1">AVERAGE(OFFSET($R$3,0,0,'Données projet'!$E$9+1,1))-AVERAGE(OFFSET($H$3,0,0,'Données projet'!$E$9+1,1))</f>
        <v>215.01135052017145</v>
      </c>
      <c r="T12" s="62">
        <f t="shared" si="34"/>
        <v>136.68033570181791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302.93538910911911</v>
      </c>
      <c r="AN12" s="62">
        <f ca="1">AVERAGE(OFFSET($AM$3,0,0,'Données projet'!$E$10+1,1))-AVERAGE(OFFSET($H$3,0,0,'Données projet'!$E$10+1,1))</f>
        <v>165.12229410621887</v>
      </c>
      <c r="AO12" s="62">
        <f t="shared" si="36"/>
        <v>148.17171564653341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5.5900000000000007</v>
      </c>
      <c r="D13" s="12">
        <f t="shared" si="32"/>
        <v>2.1084588929503836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59.426700226283664</v>
      </c>
      <c r="H13" s="70">
        <f t="shared" si="1"/>
        <v>306.74148257188858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4.3703703703703702</v>
      </c>
      <c r="N13" s="14">
        <f>IF('Données projet'!$A$36&gt;35,N12+M13-V12,IF(A13&lt;'Données projet'!$A$36,$K$205^A13,IF(A13='Données projet'!$A$36,'Données projet'!$B$36,N12+M13-V12)))</f>
        <v>5.8528003047504482</v>
      </c>
      <c r="O13" s="14">
        <f>N13*VLOOKUP('Données projet'!$B$9,Paramètres!$A$1:$I$89,3,0)*VLOOKUP('Données projet'!$B$9,Paramètres!$A$1:$I$89,5,0)</f>
        <v>3.499974582240768</v>
      </c>
      <c r="P13" s="14">
        <f t="shared" si="33"/>
        <v>1.3940803381250744</v>
      </c>
      <c r="Q13" s="22">
        <f t="shared" si="2"/>
        <v>8.5238123196371749</v>
      </c>
      <c r="R13" s="62">
        <f t="shared" si="0"/>
        <v>301.85714565297047</v>
      </c>
      <c r="S13" s="62">
        <f ca="1">AVERAGE(OFFSET($R$3,0,0,'Données projet'!$E$9+1,1))-AVERAGE(OFFSET($H$3,0,0,'Données projet'!$E$9+1,1))</f>
        <v>215.01135052017145</v>
      </c>
      <c r="T13" s="62">
        <f t="shared" si="34"/>
        <v>136.68033570181791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305.41289363405355</v>
      </c>
      <c r="AN13" s="62">
        <f ca="1">AVERAGE(OFFSET($AM$3,0,0,'Données projet'!$E$10+1,1))-AVERAGE(OFFSET($H$3,0,0,'Données projet'!$E$10+1,1))</f>
        <v>165.12229410621887</v>
      </c>
      <c r="AO13" s="62">
        <f t="shared" si="36"/>
        <v>148.17171564653341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6.1490000000000009</v>
      </c>
      <c r="D14" s="12">
        <f t="shared" si="32"/>
        <v>2.293716374319045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65.171845696497897</v>
      </c>
      <c r="H14" s="70">
        <f t="shared" si="1"/>
        <v>308.03773101860565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4.3703703703703702</v>
      </c>
      <c r="N14" s="14">
        <f>IF('Données projet'!$A$36&gt;35,N13+M14-V13,IF(A14&lt;'Données projet'!$A$36,$K$205^A14,IF(A14='Données projet'!$A$36,'Données projet'!$B$36,N13+M14-V13)))</f>
        <v>6.9839332044678839</v>
      </c>
      <c r="O14" s="14">
        <f>N14*VLOOKUP('Données projet'!$B$9,Paramètres!$A$1:$I$89,3,0)*VLOOKUP('Données projet'!$B$9,Paramètres!$A$1:$I$89,5,0)</f>
        <v>4.1763920562717951</v>
      </c>
      <c r="P14" s="14">
        <f t="shared" si="33"/>
        <v>1.629641437588379</v>
      </c>
      <c r="Q14" s="22">
        <f t="shared" si="2"/>
        <v>10.112175001806468</v>
      </c>
      <c r="R14" s="62">
        <f t="shared" si="0"/>
        <v>303.44550833513978</v>
      </c>
      <c r="S14" s="62">
        <f ca="1">AVERAGE(OFFSET($R$3,0,0,'Données projet'!$E$9+1,1))-AVERAGE(OFFSET($H$3,0,0,'Données projet'!$E$9+1,1))</f>
        <v>215.01135052017145</v>
      </c>
      <c r="T14" s="62">
        <f t="shared" si="34"/>
        <v>136.68033570181791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308.5319571409737</v>
      </c>
      <c r="AN14" s="62">
        <f ca="1">AVERAGE(OFFSET($AM$3,0,0,'Données projet'!$E$10+1,1))-AVERAGE(OFFSET($H$3,0,0,'Données projet'!$E$10+1,1))</f>
        <v>165.12229410621887</v>
      </c>
      <c r="AO14" s="62">
        <f t="shared" si="36"/>
        <v>148.17171564653341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6.7080000000000011</v>
      </c>
      <c r="D15" s="12">
        <f t="shared" si="32"/>
        <v>2.4770209932006879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70.901916438742163</v>
      </c>
      <c r="H15" s="70">
        <f t="shared" si="1"/>
        <v>309.33057822982454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4.3703703703703702</v>
      </c>
      <c r="N15" s="14">
        <f>IF('Données projet'!$A$36&gt;35,N14+M15-V14,IF(A15&lt;'Données projet'!$A$36,$K$205^A15,IF(A15='Données projet'!$A$36,'Données projet'!$B$36,N14+M15-V14)))</f>
        <v>8.3336728514178713</v>
      </c>
      <c r="O15" s="14">
        <f>N15*VLOOKUP('Données projet'!$B$9,Paramètres!$A$1:$I$89,3,0)*VLOOKUP('Données projet'!$B$9,Paramètres!$A$1:$I$89,5,0)</f>
        <v>4.983536365147887</v>
      </c>
      <c r="P15" s="14">
        <f t="shared" si="33"/>
        <v>1.9050058611951031</v>
      </c>
      <c r="Q15" s="22">
        <f t="shared" si="2"/>
        <v>11.997544377547372</v>
      </c>
      <c r="R15" s="62">
        <f t="shared" si="0"/>
        <v>305.33087771088071</v>
      </c>
      <c r="S15" s="62">
        <f ca="1">AVERAGE(OFFSET($R$3,0,0,'Données projet'!$E$9+1,1))-AVERAGE(OFFSET($H$3,0,0,'Données projet'!$E$9+1,1))</f>
        <v>215.01135052017145</v>
      </c>
      <c r="T15" s="62">
        <f t="shared" si="34"/>
        <v>136.68033570181791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312.45927468832531</v>
      </c>
      <c r="AN15" s="62">
        <f ca="1">AVERAGE(OFFSET($AM$3,0,0,'Données projet'!$E$10+1,1))-AVERAGE(OFFSET($H$3,0,0,'Données projet'!$E$10+1,1))</f>
        <v>165.12229410621887</v>
      </c>
      <c r="AO15" s="62">
        <f t="shared" si="36"/>
        <v>148.17171564653341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7.2670000000000012</v>
      </c>
      <c r="D16" s="12">
        <f t="shared" si="32"/>
        <v>2.6585539900627135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76.618311502238512</v>
      </c>
      <c r="H16" s="70">
        <f t="shared" si="1"/>
        <v>310.62033986602586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4.3703703703703702</v>
      </c>
      <c r="N16" s="14">
        <f>IF('Données projet'!$A$36&gt;35,N15+M16-V15,IF(A16&lt;'Données projet'!$A$36,$K$205^A16,IF(A16='Données projet'!$A$36,'Données projet'!$B$36,N15+M16-V15)))</f>
        <v>9.944267959210924</v>
      </c>
      <c r="O16" s="14">
        <f>N16*VLOOKUP('Données projet'!$B$9,Paramètres!$A$1:$I$89,3,0)*VLOOKUP('Données projet'!$B$9,Paramètres!$A$1:$I$89,5,0)</f>
        <v>5.9466722396081328</v>
      </c>
      <c r="P16" s="14">
        <f t="shared" si="33"/>
        <v>2.2268992721234029</v>
      </c>
      <c r="Q16" s="22">
        <f t="shared" si="2"/>
        <v>14.235637049599092</v>
      </c>
      <c r="R16" s="62">
        <f t="shared" si="0"/>
        <v>307.56897038293243</v>
      </c>
      <c r="S16" s="62">
        <f ca="1">AVERAGE(OFFSET($R$3,0,0,'Données projet'!$E$9+1,1))-AVERAGE(OFFSET($H$3,0,0,'Données projet'!$E$9+1,1))</f>
        <v>215.01135052017145</v>
      </c>
      <c r="T16" s="62">
        <f t="shared" si="34"/>
        <v>136.68033570181791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317.40498867664957</v>
      </c>
      <c r="AN16" s="62">
        <f ca="1">AVERAGE(OFFSET($AM$3,0,0,'Données projet'!$E$10+1,1))-AVERAGE(OFFSET($H$3,0,0,'Données projet'!$E$10+1,1))</f>
        <v>165.12229410621887</v>
      </c>
      <c r="AO16" s="62">
        <f t="shared" si="36"/>
        <v>148.17171564653341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7.8260000000000014</v>
      </c>
      <c r="D17" s="12">
        <f t="shared" si="32"/>
        <v>2.8384671382814215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82.322202470944333</v>
      </c>
      <c r="H17" s="70">
        <f t="shared" si="1"/>
        <v>311.90728026584014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4.3703703703703702</v>
      </c>
      <c r="N17" s="14">
        <f>IF('Données projet'!$A$36&gt;35,N16+M17-V16,IF(A17&lt;'Données projet'!$A$36,$K$205^A17,IF(A17='Données projet'!$A$36,'Données projet'!$B$36,N16+M17-V16)))</f>
        <v>11.866132377366407</v>
      </c>
      <c r="O17" s="14">
        <f>N17*VLOOKUP('Données projet'!$B$9,Paramètres!$A$1:$I$89,3,0)*VLOOKUP('Données projet'!$B$9,Paramètres!$A$1:$I$89,5,0)</f>
        <v>7.0959471616651122</v>
      </c>
      <c r="P17" s="14">
        <f t="shared" si="33"/>
        <v>2.6031837849951125</v>
      </c>
      <c r="Q17" s="22">
        <f t="shared" si="2"/>
        <v>16.892653065433223</v>
      </c>
      <c r="R17" s="62">
        <f t="shared" si="0"/>
        <v>310.22598639876651</v>
      </c>
      <c r="S17" s="62">
        <f ca="1">AVERAGE(OFFSET($R$3,0,0,'Données projet'!$E$9+1,1))-AVERAGE(OFFSET($H$3,0,0,'Données projet'!$E$9+1,1))</f>
        <v>215.01135052017145</v>
      </c>
      <c r="T17" s="62">
        <f t="shared" si="34"/>
        <v>136.68033570181791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323.63404546151253</v>
      </c>
      <c r="AN17" s="62">
        <f ca="1">AVERAGE(OFFSET($AM$3,0,0,'Données projet'!$E$10+1,1))-AVERAGE(OFFSET($H$3,0,0,'Données projet'!$E$10+1,1))</f>
        <v>165.12229410621887</v>
      </c>
      <c r="AO17" s="62">
        <f t="shared" si="36"/>
        <v>148.17171564653341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8.3850000000000016</v>
      </c>
      <c r="D18" s="12">
        <f t="shared" si="32"/>
        <v>3.0168893007228847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88.014584075755593</v>
      </c>
      <c r="H18" s="70">
        <f t="shared" si="1"/>
        <v>313.1916238654257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4.3703703703703702</v>
      </c>
      <c r="N18" s="14">
        <f>IF('Données projet'!$A$36&gt;35,N17+M18-V17,IF(A18&lt;'Données projet'!$A$36,$K$205^A18,IF(A18='Données projet'!$A$36,'Données projet'!$B$36,N17+M18-V17)))</f>
        <v>14.159423114374338</v>
      </c>
      <c r="O18" s="14">
        <f>N18*VLOOKUP('Données projet'!$B$9,Paramètres!$A$1:$I$89,3,0)*VLOOKUP('Données projet'!$B$9,Paramètres!$A$1:$I$89,5,0)</f>
        <v>8.4673350223958543</v>
      </c>
      <c r="P18" s="14">
        <f t="shared" si="33"/>
        <v>3.0430499948027987</v>
      </c>
      <c r="Q18" s="22">
        <f t="shared" si="2"/>
        <v>20.047253904954317</v>
      </c>
      <c r="R18" s="62">
        <f t="shared" si="0"/>
        <v>313.3805872382876</v>
      </c>
      <c r="S18" s="62">
        <f ca="1">AVERAGE(OFFSET($R$3,0,0,'Données projet'!$E$9+1,1))-AVERAGE(OFFSET($H$3,0,0,'Données projet'!$E$9+1,1))</f>
        <v>215.01135052017145</v>
      </c>
      <c r="T18" s="62">
        <f t="shared" si="34"/>
        <v>136.68033570181791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331.48052823823258</v>
      </c>
      <c r="AN18" s="62">
        <f ca="1">AVERAGE(OFFSET($AM$3,0,0,'Données projet'!$E$10+1,1))-AVERAGE(OFFSET($H$3,0,0,'Données projet'!$E$10+1,1))</f>
        <v>165.12229410621887</v>
      </c>
      <c r="AO18" s="62">
        <f t="shared" si="36"/>
        <v>148.17171564653341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8.9440000000000008</v>
      </c>
      <c r="D19" s="12">
        <f t="shared" si="32"/>
        <v>3.193931186488729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93.69631091324635</v>
      </c>
      <c r="H19" s="70">
        <f t="shared" si="1"/>
        <v>314.47356348313451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4.3703703703703702</v>
      </c>
      <c r="N19" s="14">
        <f>IF('Données projet'!$A$36&gt;35,N18+M19-V18,IF(A19&lt;'Données projet'!$A$36,$K$205^A19,IF(A19='Données projet'!$A$36,'Données projet'!$B$36,N18+M19-V18)))</f>
        <v>16.895923335078734</v>
      </c>
      <c r="O19" s="14">
        <f>N19*VLOOKUP('Données projet'!$B$9,Paramètres!$A$1:$I$89,3,0)*VLOOKUP('Données projet'!$B$9,Paramètres!$A$1:$I$89,5,0)</f>
        <v>10.103762154377083</v>
      </c>
      <c r="P19" s="14">
        <f t="shared" si="33"/>
        <v>3.5572414534253478</v>
      </c>
      <c r="Q19" s="22">
        <f t="shared" si="2"/>
        <v>23.79291461692257</v>
      </c>
      <c r="R19" s="62">
        <f t="shared" si="0"/>
        <v>317.1262479502559</v>
      </c>
      <c r="S19" s="62">
        <f ca="1">AVERAGE(OFFSET($R$3,0,0,'Données projet'!$E$9+1,1))-AVERAGE(OFFSET($H$3,0,0,'Données projet'!$E$9+1,1))</f>
        <v>215.01135052017145</v>
      </c>
      <c r="T19" s="62">
        <f t="shared" si="34"/>
        <v>136.68033570181791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341.36574806253117</v>
      </c>
      <c r="AN19" s="62">
        <f ca="1">AVERAGE(OFFSET($AM$3,0,0,'Données projet'!$E$10+1,1))-AVERAGE(OFFSET($H$3,0,0,'Données projet'!$E$10+1,1))</f>
        <v>165.12229410621887</v>
      </c>
      <c r="AO19" s="62">
        <f t="shared" si="36"/>
        <v>148.17171564653341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9.5030000000000001</v>
      </c>
      <c r="D20" s="12">
        <f t="shared" si="32"/>
        <v>3.369688883880555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99.368124717674462</v>
      </c>
      <c r="H20" s="70">
        <f t="shared" si="1"/>
        <v>315.75326647275864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4.3703703703703702</v>
      </c>
      <c r="N20" s="14">
        <f>IF('Données projet'!$A$36&gt;35,N19+M20-V19,IF(A20&lt;'Données projet'!$A$36,$K$205^A20,IF(A20='Données projet'!$A$36,'Données projet'!$B$36,N19+M20-V19)))</f>
        <v>20.161289272799031</v>
      </c>
      <c r="O20" s="14">
        <f>N20*VLOOKUP('Données projet'!$B$9,Paramètres!$A$1:$I$89,3,0)*VLOOKUP('Données projet'!$B$9,Paramètres!$A$1:$I$89,5,0)</f>
        <v>12.056450985133822</v>
      </c>
      <c r="P20" s="14">
        <f t="shared" si="33"/>
        <v>4.1583170764789594</v>
      </c>
      <c r="Q20" s="22">
        <f t="shared" si="2"/>
        <v>28.240721040642256</v>
      </c>
      <c r="R20" s="62">
        <f t="shared" si="0"/>
        <v>321.57405437397557</v>
      </c>
      <c r="S20" s="62">
        <f ca="1">AVERAGE(OFFSET($R$3,0,0,'Données projet'!$E$9+1,1))-AVERAGE(OFFSET($H$3,0,0,'Données projet'!$E$9+1,1))</f>
        <v>215.01135052017145</v>
      </c>
      <c r="T20" s="62">
        <f t="shared" si="34"/>
        <v>136.68033570181791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353.82108070972311</v>
      </c>
      <c r="AN20" s="62">
        <f ca="1">AVERAGE(OFFSET($AM$3,0,0,'Données projet'!$E$10+1,1))-AVERAGE(OFFSET($H$3,0,0,'Données projet'!$E$10+1,1))</f>
        <v>165.12229410621887</v>
      </c>
      <c r="AO20" s="62">
        <f t="shared" si="36"/>
        <v>148.17171564653341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10.061999999999999</v>
      </c>
      <c r="D21" s="12">
        <f t="shared" si="32"/>
        <v>3.5442465380941046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105.03067503090188</v>
      </c>
      <c r="H21" s="70">
        <f t="shared" si="1"/>
        <v>317.03087938718056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4.3703703703703702</v>
      </c>
      <c r="N21" s="14">
        <f>IF('Données projet'!$A$36&gt;35,N20+M21-V20,IF(A21&lt;'Données projet'!$A$36,$K$205^A21,IF(A21='Données projet'!$A$36,'Données projet'!$B$36,N20+M21-V20)))</f>
        <v>24.057731387639919</v>
      </c>
      <c r="O21" s="14">
        <f>N21*VLOOKUP('Données projet'!$B$9,Paramètres!$A$1:$I$89,3,0)*VLOOKUP('Données projet'!$B$9,Paramètres!$A$1:$I$89,5,0)</f>
        <v>14.386523369808673</v>
      </c>
      <c r="P21" s="14">
        <f t="shared" si="33"/>
        <v>4.8609578896833261</v>
      </c>
      <c r="Q21" s="22">
        <f t="shared" si="2"/>
        <v>33.522696526948565</v>
      </c>
      <c r="R21" s="62">
        <f t="shared" si="0"/>
        <v>326.85602986028186</v>
      </c>
      <c r="S21" s="62">
        <f ca="1">AVERAGE(OFFSET($R$3,0,0,'Données projet'!$E$9+1,1))-AVERAGE(OFFSET($H$3,0,0,'Données projet'!$E$9+1,1))</f>
        <v>215.01135052017145</v>
      </c>
      <c r="T21" s="62">
        <f t="shared" si="34"/>
        <v>136.68033570181791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369.5167972092915</v>
      </c>
      <c r="AN21" s="62">
        <f ca="1">AVERAGE(OFFSET($AM$3,0,0,'Données projet'!$E$10+1,1))-AVERAGE(OFFSET($H$3,0,0,'Données projet'!$E$10+1,1))</f>
        <v>165.12229410621887</v>
      </c>
      <c r="AO21" s="62">
        <f t="shared" si="36"/>
        <v>148.17171564653341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10.620999999999999</v>
      </c>
      <c r="D22" s="12">
        <f t="shared" si="32"/>
        <v>3.7176784168109291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110.68453514731243</v>
      </c>
      <c r="H22" s="70">
        <f t="shared" si="1"/>
        <v>318.30653157594566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4.3703703703703702</v>
      </c>
      <c r="N22" s="14">
        <f>IF('Données projet'!$A$36&gt;35,N21+M22-V21,IF(A22&lt;'Données projet'!$A$36,$K$205^A22,IF(A22='Données projet'!$A$36,'Données projet'!$B$36,N21+M22-V21)))</f>
        <v>28.707213694944539</v>
      </c>
      <c r="O22" s="14">
        <f>N22*VLOOKUP('Données projet'!$B$9,Paramètres!$A$1:$I$89,3,0)*VLOOKUP('Données projet'!$B$9,Paramètres!$A$1:$I$89,5,0)</f>
        <v>17.166913789576835</v>
      </c>
      <c r="P22" s="14">
        <f t="shared" si="33"/>
        <v>5.6823256068972627</v>
      </c>
      <c r="Q22" s="22">
        <f t="shared" si="2"/>
        <v>39.79575861552572</v>
      </c>
      <c r="R22" s="62">
        <f t="shared" si="0"/>
        <v>333.12909194885901</v>
      </c>
      <c r="S22" s="62">
        <f ca="1">AVERAGE(OFFSET($R$3,0,0,'Données projet'!$E$9+1,1))-AVERAGE(OFFSET($H$3,0,0,'Données projet'!$E$9+1,1))</f>
        <v>215.01135052017145</v>
      </c>
      <c r="T22" s="62">
        <f t="shared" si="34"/>
        <v>136.68033570181791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389.29846466872669</v>
      </c>
      <c r="AN22" s="62">
        <f ca="1">AVERAGE(OFFSET($AM$3,0,0,'Données projet'!$E$10+1,1))-AVERAGE(OFFSET($H$3,0,0,'Données projet'!$E$10+1,1))</f>
        <v>165.12229410621887</v>
      </c>
      <c r="AO22" s="62">
        <f t="shared" si="36"/>
        <v>148.17171564653341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11.179999999999998</v>
      </c>
      <c r="D23" s="12">
        <f t="shared" si="32"/>
        <v>3.8900505285230369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116.33021460614272</v>
      </c>
      <c r="H23" s="70">
        <f t="shared" si="1"/>
        <v>319.58033800384425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4.3703703703703702</v>
      </c>
      <c r="N23" s="14">
        <f>IF('Données projet'!$A$36&gt;35,N22+M23-V22,IF(A23&lt;'Données projet'!$A$36,$K$205^A23,IF(A23='Données projet'!$A$36,'Données projet'!$B$36,N22+M23-V22)))</f>
        <v>34.255271407286948</v>
      </c>
      <c r="O23" s="14">
        <f>N23*VLOOKUP('Données projet'!$B$9,Paramètres!$A$1:$I$89,3,0)*VLOOKUP('Données projet'!$B$9,Paramètres!$A$1:$I$89,5,0)</f>
        <v>20.484652301557595</v>
      </c>
      <c r="P23" s="14">
        <f t="shared" si="33"/>
        <v>6.6424817979453561</v>
      </c>
      <c r="Q23" s="22">
        <f t="shared" si="2"/>
        <v>47.246425223300974</v>
      </c>
      <c r="R23" s="62">
        <f t="shared" si="0"/>
        <v>340.57975855663426</v>
      </c>
      <c r="S23" s="62">
        <f ca="1">AVERAGE(OFFSET($R$3,0,0,'Données projet'!$E$9+1,1))-AVERAGE(OFFSET($H$3,0,0,'Données projet'!$E$9+1,1))</f>
        <v>215.01135052017145</v>
      </c>
      <c r="T23" s="62">
        <f t="shared" si="34"/>
        <v>136.68033570181791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414.23290956434556</v>
      </c>
      <c r="AN23" s="62">
        <f ca="1">AVERAGE(OFFSET($AM$3,0,0,'Données projet'!$E$10+1,1))-AVERAGE(OFFSET($H$3,0,0,'Données projet'!$E$10+1,1))</f>
        <v>165.12229410621887</v>
      </c>
      <c r="AO23" s="62">
        <f t="shared" si="36"/>
        <v>148.17171564653341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11.738999999999997</v>
      </c>
      <c r="D24" s="12">
        <f t="shared" si="32"/>
        <v>4.0614219079945988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121.96816911434426</v>
      </c>
      <c r="H24" s="70">
        <f t="shared" si="1"/>
        <v>320.85240148975726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4.3703703703703702</v>
      </c>
      <c r="N24" s="14">
        <f>IF('Données projet'!$A$36&gt;35,N23+M24-V23,IF(A24&lt;'Données projet'!$A$36,$K$205^A24,IF(A24='Données projet'!$A$36,'Données projet'!$B$36,N23+M24-V23)))</f>
        <v>40.875566387466414</v>
      </c>
      <c r="O24" s="14">
        <f>N24*VLOOKUP('Données projet'!$B$9,Paramètres!$A$1:$I$89,3,0)*VLOOKUP('Données projet'!$B$9,Paramètres!$A$1:$I$89,5,0)</f>
        <v>24.443588699704918</v>
      </c>
      <c r="P24" s="14">
        <f t="shared" si="33"/>
        <v>7.7648778842379169</v>
      </c>
      <c r="Q24" s="22">
        <f t="shared" si="2"/>
        <v>56.096412633700432</v>
      </c>
      <c r="R24" s="62">
        <f t="shared" si="0"/>
        <v>349.42974596703374</v>
      </c>
      <c r="S24" s="62">
        <f ca="1">AVERAGE(OFFSET($R$3,0,0,'Données projet'!$E$9+1,1))-AVERAGE(OFFSET($H$3,0,0,'Données projet'!$E$9+1,1))</f>
        <v>215.01135052017145</v>
      </c>
      <c r="T24" s="62">
        <f t="shared" si="34"/>
        <v>136.68033570181791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420.88328299708735</v>
      </c>
      <c r="AN24" s="62">
        <f ca="1">AVERAGE(OFFSET($AM$3,0,0,'Données projet'!$E$10+1,1))-AVERAGE(OFFSET($H$3,0,0,'Données projet'!$E$10+1,1))</f>
        <v>165.12229410621887</v>
      </c>
      <c r="AO24" s="62">
        <f t="shared" si="36"/>
        <v>148.17171564653341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12.297999999999996</v>
      </c>
      <c r="D25" s="12">
        <f t="shared" si="32"/>
        <v>4.2318456499363739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127.59880852582461</v>
      </c>
      <c r="H25" s="70">
        <f t="shared" si="1"/>
        <v>322.12281450697247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4.3703703703703702</v>
      </c>
      <c r="N25" s="14">
        <f>IF('Données projet'!$A$36&gt;35,N24+M25-V24,IF(A25&lt;'Données projet'!$A$36,$K$205^A25,IF(A25='Données projet'!$A$36,'Données projet'!$B$36,N24+M25-V24)))</f>
        <v>48.775323004469058</v>
      </c>
      <c r="O25" s="14">
        <f>N25*VLOOKUP('Données projet'!$B$9,Paramètres!$A$1:$I$89,3,0)*VLOOKUP('Données projet'!$B$9,Paramètres!$A$1:$I$89,5,0)</f>
        <v>29.167643156672497</v>
      </c>
      <c r="P25" s="14">
        <f t="shared" si="33"/>
        <v>9.0769279301265016</v>
      </c>
      <c r="Q25" s="22">
        <f t="shared" si="2"/>
        <v>66.60929464284159</v>
      </c>
      <c r="R25" s="62">
        <f t="shared" si="0"/>
        <v>359.94262797617489</v>
      </c>
      <c r="S25" s="62">
        <f ca="1">AVERAGE(OFFSET($R$3,0,0,'Données projet'!$E$9+1,1))-AVERAGE(OFFSET($H$3,0,0,'Données projet'!$E$9+1,1))</f>
        <v>215.01135052017145</v>
      </c>
      <c r="T25" s="62">
        <f t="shared" si="34"/>
        <v>136.68033570181791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427.52525785202226</v>
      </c>
      <c r="AN25" s="62">
        <f ca="1">AVERAGE(OFFSET($AM$3,0,0,'Données projet'!$E$10+1,1))-AVERAGE(OFFSET($H$3,0,0,'Données projet'!$E$10+1,1))</f>
        <v>165.12229410621887</v>
      </c>
      <c r="AO25" s="62">
        <f t="shared" si="36"/>
        <v>148.17171564653341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26" s="12">
        <f t="shared" si="32"/>
        <v>4.4013697494266859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133.22250332890772</v>
      </c>
      <c r="H26" s="70">
        <f t="shared" si="1"/>
        <v>323.39166064691813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4.3703703703703702</v>
      </c>
      <c r="N26" s="14">
        <f>IF('Données projet'!$A$36&gt;35,N25+M26-V25,IF(A26&lt;'Données projet'!$A$36,$K$205^A26,IF(A26='Données projet'!$A$36,'Données projet'!$B$36,N25+M26-V25)))</f>
        <v>58.201814542189823</v>
      </c>
      <c r="O26" s="14">
        <f>N26*VLOOKUP('Données projet'!$B$9,Paramètres!$A$1:$I$89,3,0)*VLOOKUP('Données projet'!$B$9,Paramètres!$A$1:$I$89,5,0)</f>
        <v>34.804685096229512</v>
      </c>
      <c r="P26" s="14">
        <f t="shared" si="33"/>
        <v>10.610678220189007</v>
      </c>
      <c r="Q26" s="22">
        <f t="shared" si="2"/>
        <v>79.098424442762266</v>
      </c>
      <c r="R26" s="62">
        <f t="shared" si="0"/>
        <v>372.43175777609559</v>
      </c>
      <c r="S26" s="62">
        <f ca="1">AVERAGE(OFFSET($R$3,0,0,'Données projet'!$E$9+1,1))-AVERAGE(OFFSET($H$3,0,0,'Données projet'!$E$9+1,1))</f>
        <v>215.01135052017145</v>
      </c>
      <c r="T26" s="62">
        <f t="shared" si="34"/>
        <v>136.68033570181791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434.15930927690442</v>
      </c>
      <c r="AN26" s="62">
        <f ca="1">AVERAGE(OFFSET($AM$3,0,0,'Données projet'!$E$10+1,1))-AVERAGE(OFFSET($H$3,0,0,'Données projet'!$E$10+1,1))</f>
        <v>165.12229410621887</v>
      </c>
      <c r="AO26" s="62">
        <f t="shared" si="36"/>
        <v>148.17171564653341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13.415999999999995</v>
      </c>
      <c r="D27" s="12">
        <f t="shared" si="32"/>
        <v>4.5700377920480229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138.83958997370399</v>
      </c>
      <c r="H27" s="70">
        <f t="shared" si="1"/>
        <v>324.65901582115026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4.3703703703703702</v>
      </c>
      <c r="N27" s="14">
        <f>IF('Données projet'!$A$36&gt;35,N26+M27-V26,IF(A27&lt;'Données projet'!$A$36,$K$205^A27,IF(A27='Données projet'!$A$36,'Données projet'!$B$36,N26+M27-V26)))</f>
        <v>69.450103194459274</v>
      </c>
      <c r="O27" s="14">
        <f>N27*VLOOKUP('Données projet'!$B$9,Paramètres!$A$1:$I$89,3,0)*VLOOKUP('Données projet'!$B$9,Paramètres!$A$1:$I$89,5,0)</f>
        <v>41.531161710286646</v>
      </c>
      <c r="P27" s="14">
        <f t="shared" si="33"/>
        <v>12.40358997659513</v>
      </c>
      <c r="Q27" s="22">
        <f t="shared" si="2"/>
        <v>93.936359187985758</v>
      </c>
      <c r="R27" s="62">
        <f t="shared" si="0"/>
        <v>387.26969252131909</v>
      </c>
      <c r="S27" s="62">
        <f ca="1">AVERAGE(OFFSET($R$3,0,0,'Données projet'!$E$9+1,1))-AVERAGE(OFFSET($H$3,0,0,'Données projet'!$E$9+1,1))</f>
        <v>215.01135052017145</v>
      </c>
      <c r="T27" s="62">
        <f t="shared" si="34"/>
        <v>136.68033570181791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440.785863899655</v>
      </c>
      <c r="AN27" s="62">
        <f ca="1">AVERAGE(OFFSET($AM$3,0,0,'Données projet'!$E$10+1,1))-AVERAGE(OFFSET($H$3,0,0,'Données projet'!$E$10+1,1))</f>
        <v>165.12229410621887</v>
      </c>
      <c r="AO27" s="62">
        <f t="shared" si="36"/>
        <v>148.17171564653341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13.974999999999994</v>
      </c>
      <c r="D28" s="12">
        <f t="shared" si="32"/>
        <v>4.7378895257597495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144.45037528656644</v>
      </c>
      <c r="H28" s="70">
        <f t="shared" si="1"/>
        <v>325.92494925736486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4.3703703703703702</v>
      </c>
      <c r="N28" s="14">
        <f>IF('Données projet'!$A$36&gt;35,N27+M28-V27,IF(A28&lt;'Données projet'!$A$36,$K$205^A28,IF(A28='Données projet'!$A$36,'Données projet'!$B$36,N27+M28-V27)))</f>
        <v>82.872275918900684</v>
      </c>
      <c r="O28" s="14">
        <f>N28*VLOOKUP('Données projet'!$B$9,Paramètres!$A$1:$I$89,3,0)*VLOOKUP('Données projet'!$B$9,Paramètres!$A$1:$I$89,5,0)</f>
        <v>49.557620999502618</v>
      </c>
      <c r="P28" s="14">
        <f t="shared" si="33"/>
        <v>14.49945433410293</v>
      </c>
      <c r="Q28" s="22">
        <f t="shared" si="2"/>
        <v>111.56607287269634</v>
      </c>
      <c r="R28" s="62">
        <f t="shared" si="0"/>
        <v>404.89940620602965</v>
      </c>
      <c r="S28" s="62">
        <f ca="1">AVERAGE(OFFSET($R$3,0,0,'Données projet'!$E$9+1,1))-AVERAGE(OFFSET($H$3,0,0,'Données projet'!$E$9+1,1))</f>
        <v>215.01135052017145</v>
      </c>
      <c r="T28" s="62">
        <f t="shared" si="34"/>
        <v>136.68033570181791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447.40530679053904</v>
      </c>
      <c r="AN28" s="62">
        <f ca="1">AVERAGE(OFFSET($AM$3,0,0,'Données projet'!$E$10+1,1))-AVERAGE(OFFSET($H$3,0,0,'Données projet'!$E$10+1,1))</f>
        <v>165.12229410621887</v>
      </c>
      <c r="AO28" s="62">
        <f t="shared" si="36"/>
        <v>148.17171564653341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14.533999999999994</v>
      </c>
      <c r="D29" s="12">
        <f t="shared" si="32"/>
        <v>4.9049613386955659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150.05514015835169</v>
      </c>
      <c r="H29" s="70">
        <f t="shared" si="1"/>
        <v>327.18952433156142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4.3703703703703702</v>
      </c>
      <c r="N29" s="14">
        <f>IF('Données projet'!$A$36&gt;35,N28+M29-V28,IF(A29&lt;'Données projet'!$A$36,$K$205^A29,IF(A29='Données projet'!$A$36,'Données projet'!$B$36,N28+M29-V28)))</f>
        <v>98.888465244589028</v>
      </c>
      <c r="O29" s="14">
        <f>N29*VLOOKUP('Données projet'!$B$9,Paramètres!$A$1:$I$89,3,0)*VLOOKUP('Données projet'!$B$9,Paramètres!$A$1:$I$89,5,0)</f>
        <v>59.135302216264243</v>
      </c>
      <c r="P29" s="14">
        <f t="shared" si="33"/>
        <v>16.949461920575921</v>
      </c>
      <c r="Q29" s="22">
        <f t="shared" si="2"/>
        <v>132.51429753832994</v>
      </c>
      <c r="R29" s="62">
        <f t="shared" si="0"/>
        <v>425.84763087166323</v>
      </c>
      <c r="S29" s="62">
        <f ca="1">AVERAGE(OFFSET($R$3,0,0,'Données projet'!$E$9+1,1))-AVERAGE(OFFSET($H$3,0,0,'Données projet'!$E$9+1,1))</f>
        <v>215.01135052017145</v>
      </c>
      <c r="T29" s="62">
        <f t="shared" si="34"/>
        <v>136.68033570181791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454.01798716246481</v>
      </c>
      <c r="AN29" s="62">
        <f ca="1">AVERAGE(OFFSET($AM$3,0,0,'Données projet'!$E$10+1,1))-AVERAGE(OFFSET($H$3,0,0,'Données projet'!$E$10+1,1))</f>
        <v>165.12229410621887</v>
      </c>
      <c r="AO29" s="62">
        <f t="shared" si="36"/>
        <v>148.17171564653341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15.092999999999993</v>
      </c>
      <c r="D30" s="12">
        <f t="shared" si="32"/>
        <v>5.0712866613861189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155.65414264929629</v>
      </c>
      <c r="H30" s="70">
        <f t="shared" si="1"/>
        <v>328.4527992685808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118</v>
      </c>
      <c r="L30" s="13">
        <f>VLOOKUP(A30,'Données projet'!$A$35:$I$55,9,0)</f>
        <v>4.3703703703703702</v>
      </c>
      <c r="M30" s="13">
        <f t="array" ref="M30">INDEX(L:L,MIN(IF(ISNUMBER(L30:L226),ROW(L30:L226),"")))</f>
        <v>4.3703703703703702</v>
      </c>
      <c r="N30" s="14">
        <f>IF('Données projet'!$A$36&gt;35,N29+M30-V29,IF(A30&lt;'Données projet'!$A$36,$K$205^A30,IF(A30='Données projet'!$A$36,'Données projet'!$B$36,N29+M30-V29)))</f>
        <v>118</v>
      </c>
      <c r="O30" s="14">
        <f>N30*VLOOKUP('Données projet'!$B$9,Paramètres!$A$1:$I$89,3,0)*VLOOKUP('Données projet'!$B$9,Paramètres!$A$1:$I$89,5,0)</f>
        <v>70.564000000000007</v>
      </c>
      <c r="P30" s="14">
        <f t="shared" si="33"/>
        <v>19.813453167086163</v>
      </c>
      <c r="Q30" s="22">
        <f t="shared" si="2"/>
        <v>157.40739759934175</v>
      </c>
      <c r="R30" s="62">
        <f t="shared" si="0"/>
        <v>450.74073093267509</v>
      </c>
      <c r="S30" s="62">
        <f ca="1">AVERAGE(OFFSET($R$3,0,0,'Données projet'!$E$9+1,1))-AVERAGE(OFFSET($H$3,0,0,'Données projet'!$E$9+1,1))</f>
        <v>215.01135052017145</v>
      </c>
      <c r="T30" s="62">
        <f t="shared" si="34"/>
        <v>136.68033570181791</v>
      </c>
      <c r="U30" s="16">
        <f>IF(ISNA(VLOOKUP(A30,'Données projet'!$A$35:$I$55,3,0)),0,VLOOKUP(A30,'Données projet'!$A$35:$I$55,3,0))</f>
        <v>1</v>
      </c>
      <c r="V30" s="16">
        <f>IF(ISNA(VLOOKUP(A30,'Données projet'!$A$35:$I$55,4,0)),0,VLOOKUP(A30,'Données projet'!$A$35:$I$55,4,0))</f>
        <v>15</v>
      </c>
      <c r="W30" s="17">
        <f>IF(ISNA(VLOOKUP(A30,'Données projet'!$A$35:$I$55,5,0)),0%,VLOOKUP(A30,'Données projet'!$A$35:$I$55,5,0)*VLOOKUP('Données projet'!$B$9,Paramètres!$A$1:$I$89,7,0))</f>
        <v>0.13500000000000001</v>
      </c>
      <c r="X30" s="17">
        <f>IF(ISNA(VLOOKUP(A30,'Données projet'!$A$35:$I$55,6,0)),0%,VLOOKUP(A30,'Données projet'!$A$35:$I$55,6,0)*VLOOKUP('Données projet'!$B$9,Paramètres!$A$1:$I$89,7,0))</f>
        <v>0.1575</v>
      </c>
      <c r="Y30" s="17">
        <f>IF(ISNA(VLOOKUP(A30,'Données projet'!$A$35:$I$55,7,0)),0%,VLOOKUP(A30,'Données projet'!$A$35:$I$55,7,0))</f>
        <v>0.35</v>
      </c>
      <c r="Z30" s="23">
        <f>EXP(-LN(2)/35)*Z29+(1-EXP(-LN(2)/35))/(LN(2)/35)*V30*W30*VLOOKUP('Données projet'!$B$9,Paramètres!$A$1:$I$89,3,0)*0.475*44/12</f>
        <v>1.6064032273145115</v>
      </c>
      <c r="AA30" s="23">
        <f>EXP(-LN(2)/25)*AA29+(1-EXP(-LN(2)/25))/(LN(2)/25)*Calculateur!V30*Calculateur!X30*VLOOKUP('Données projet'!$B$9,Paramètres!$A$1:$I$89,3,0)*0.475*44/12</f>
        <v>1.8667579066744502</v>
      </c>
      <c r="AB30" s="23">
        <f>EXP(-LN(2)/2)*AB29+(1-EXP(-LN(2)/2))/(LN(2)/2)*V30*Y30*VLOOKUP('Données projet'!$B$9,Paramètres!$A$1:$I$89,3,0)*0.475*44/12</f>
        <v>3.5546432980843399</v>
      </c>
      <c r="AC30" s="24">
        <f t="shared" si="3"/>
        <v>7.0278044320733013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460.62422308176644</v>
      </c>
      <c r="AN30" s="62">
        <f ca="1">AVERAGE(OFFSET($AM$3,0,0,'Données projet'!$E$10+1,1))-AVERAGE(OFFSET($H$3,0,0,'Données projet'!$E$10+1,1))</f>
        <v>165.12229410621887</v>
      </c>
      <c r="AO30" s="62">
        <f t="shared" si="36"/>
        <v>148.17171564653341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15.651999999999992</v>
      </c>
      <c r="D31" s="12">
        <f t="shared" si="32"/>
        <v>5.2368963077179389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161.24762062098054</v>
      </c>
      <c r="H31" s="70">
        <f t="shared" si="1"/>
        <v>329.71482773594204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9.6666666666666661</v>
      </c>
      <c r="N31" s="14">
        <f>IF('Données projet'!$A$36&gt;35,N30+M31-V30,IF(A31&lt;'Données projet'!$A$36,$K$205^A31,IF(A31='Données projet'!$A$36,'Données projet'!$B$36,N30+M31-V30)))</f>
        <v>112.66666666666667</v>
      </c>
      <c r="O31" s="14">
        <f>N31*VLOOKUP('Données projet'!$B$9,Paramètres!$A$1:$I$89,3,0)*VLOOKUP('Données projet'!$B$9,Paramètres!$A$1:$I$89,5,0)</f>
        <v>67.37466666666667</v>
      </c>
      <c r="P31" s="14">
        <f t="shared" si="33"/>
        <v>19.020051421525295</v>
      </c>
      <c r="Q31" s="22">
        <f t="shared" si="2"/>
        <v>150.47080067026766</v>
      </c>
      <c r="R31" s="62">
        <f t="shared" si="0"/>
        <v>443.80413400360101</v>
      </c>
      <c r="S31" s="62">
        <f ca="1">AVERAGE(OFFSET($R$3,0,0,'Données projet'!$E$9+1,1))-AVERAGE(OFFSET($H$3,0,0,'Données projet'!$E$9+1,1))</f>
        <v>215.01135052017145</v>
      </c>
      <c r="T31" s="62">
        <f t="shared" si="34"/>
        <v>136.68033570181791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1.5749026398360944</v>
      </c>
      <c r="AA31" s="23">
        <f>EXP(-LN(2)/25)*AA30+(1-EXP(-LN(2)/25))/(LN(2)/25)*Calculateur!V31*Calculateur!X31*VLOOKUP('Données projet'!$B$9,Paramètres!$A$1:$I$89,3,0)*0.475*44/12</f>
        <v>1.8157113135479055</v>
      </c>
      <c r="AB31" s="23">
        <f>EXP(-LN(2)/2)*AB30+(1-EXP(-LN(2)/2))/(LN(2)/2)*V31*Y31*VLOOKUP('Données projet'!$B$9,Paramètres!$A$1:$I$89,3,0)*0.475*44/12</f>
        <v>2.5135123807747513</v>
      </c>
      <c r="AC31" s="24">
        <f t="shared" si="3"/>
        <v>5.9041263341587511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467.22430539438142</v>
      </c>
      <c r="AN31" s="62">
        <f ca="1">AVERAGE(OFFSET($AM$3,0,0,'Données projet'!$E$10+1,1))-AVERAGE(OFFSET($H$3,0,0,'Données projet'!$E$10+1,1))</f>
        <v>165.12229410621887</v>
      </c>
      <c r="AO31" s="62">
        <f t="shared" si="36"/>
        <v>148.17171564653341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16.210999999999991</v>
      </c>
      <c r="D32" s="12">
        <f t="shared" si="32"/>
        <v>5.4018187658151851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166.8357939817312</v>
      </c>
      <c r="H32" s="70">
        <f t="shared" si="1"/>
        <v>330.9756593504614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9.6666666666666661</v>
      </c>
      <c r="N32" s="14">
        <f>IF('Données projet'!$A$36&gt;35,N31+M32-V31,IF(A32&lt;'Données projet'!$A$36,$K$205^A32,IF(A32='Données projet'!$A$36,'Données projet'!$B$36,N31+M32-V31)))</f>
        <v>122.33333333333334</v>
      </c>
      <c r="O32" s="14">
        <f>N32*VLOOKUP('Données projet'!$B$9,Paramètres!$A$1:$I$89,3,0)*VLOOKUP('Données projet'!$B$9,Paramètres!$A$1:$I$89,5,0)</f>
        <v>73.155333333333346</v>
      </c>
      <c r="P32" s="14">
        <f t="shared" si="33"/>
        <v>20.455016056663315</v>
      </c>
      <c r="Q32" s="22">
        <f t="shared" si="2"/>
        <v>163.03802518757752</v>
      </c>
      <c r="R32" s="62">
        <f t="shared" si="0"/>
        <v>456.3713585209108</v>
      </c>
      <c r="S32" s="62">
        <f ca="1">AVERAGE(OFFSET($R$3,0,0,'Données projet'!$E$9+1,1))-AVERAGE(OFFSET($H$3,0,0,'Données projet'!$E$9+1,1))</f>
        <v>215.01135052017145</v>
      </c>
      <c r="T32" s="62">
        <f t="shared" si="34"/>
        <v>136.68033570181791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1.5440197596646679</v>
      </c>
      <c r="AA32" s="23">
        <f>EXP(-LN(2)/25)*AA31+(1-EXP(-LN(2)/25))/(LN(2)/25)*Calculateur!V32*Calculateur!X32*VLOOKUP('Données projet'!$B$9,Paramètres!$A$1:$I$89,3,0)*0.475*44/12</f>
        <v>1.7660605921948298</v>
      </c>
      <c r="AB32" s="23">
        <f>EXP(-LN(2)/2)*AB31+(1-EXP(-LN(2)/2))/(LN(2)/2)*V32*Y32*VLOOKUP('Données projet'!$B$9,Paramètres!$A$1:$I$89,3,0)*0.475*44/12</f>
        <v>1.7773216490421704</v>
      </c>
      <c r="AC32" s="24">
        <f t="shared" si="3"/>
        <v>5.0874020009016681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473.81850102357112</v>
      </c>
      <c r="AN32" s="62">
        <f ca="1">AVERAGE(OFFSET($AM$3,0,0,'Données projet'!$E$10+1,1))-AVERAGE(OFFSET($H$3,0,0,'Données projet'!$E$10+1,1))</f>
        <v>165.12229410621887</v>
      </c>
      <c r="AO32" s="62">
        <f t="shared" si="36"/>
        <v>148.17171564653341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16.769999999999992</v>
      </c>
      <c r="D33" s="12">
        <f t="shared" si="32"/>
        <v>5.5660804476725998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172.41886661361301</v>
      </c>
      <c r="H33" s="70">
        <f t="shared" si="1"/>
        <v>332.23534011302974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132</v>
      </c>
      <c r="L33" s="13">
        <f>VLOOKUP(A33,'Données projet'!$A$35:$I$55,9,0)</f>
        <v>9.6666666666666661</v>
      </c>
      <c r="M33" s="13">
        <f t="array" ref="M33">INDEX(L:L,MIN(IF(ISNUMBER(L33:L229),ROW(L33:L229),"")))</f>
        <v>9.6666666666666661</v>
      </c>
      <c r="N33" s="14">
        <f>IF('Données projet'!$A$36&gt;35,N32+M33-V32,IF(A33&lt;'Données projet'!$A$36,$K$205^A33,IF(A33='Données projet'!$A$36,'Données projet'!$B$36,N32+M33-V32)))</f>
        <v>132</v>
      </c>
      <c r="O33" s="14">
        <f>N33*VLOOKUP('Données projet'!$B$9,Paramètres!$A$1:$I$89,3,0)*VLOOKUP('Données projet'!$B$9,Paramètres!$A$1:$I$89,5,0)</f>
        <v>78.936000000000007</v>
      </c>
      <c r="P33" s="14">
        <f t="shared" si="33"/>
        <v>21.876828219051273</v>
      </c>
      <c r="Q33" s="22">
        <f t="shared" si="2"/>
        <v>175.5823424815143</v>
      </c>
      <c r="R33" s="62">
        <f t="shared" si="0"/>
        <v>468.91567581484765</v>
      </c>
      <c r="S33" s="62">
        <f ca="1">AVERAGE(OFFSET($R$3,0,0,'Données projet'!$E$9+1,1))-AVERAGE(OFFSET($H$3,0,0,'Données projet'!$E$9+1,1))</f>
        <v>215.01135052017145</v>
      </c>
      <c r="T33" s="62">
        <f t="shared" si="34"/>
        <v>136.68033570181791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13</v>
      </c>
      <c r="W33" s="17">
        <f>IF(ISNA(VLOOKUP(A33,'Données projet'!$A$35:$I$55,5,0)),0%,VLOOKUP(A33,'Données projet'!$A$35:$I$55,5,0)*VLOOKUP('Données projet'!$B$9,Paramètres!$A$1:$I$89,7,0))</f>
        <v>0.315</v>
      </c>
      <c r="X33" s="17">
        <f>IF(ISNA(VLOOKUP(A33,'Données projet'!$A$35:$I$55,6,0)),0%,VLOOKUP(A33,'Données projet'!$A$35:$I$55,6,0)*VLOOKUP('Données projet'!$B$9,Paramètres!$A$1:$I$89,7,0))</f>
        <v>6.7500000000000004E-2</v>
      </c>
      <c r="Y33" s="17">
        <f>IF(ISNA(VLOOKUP(A33,'Données projet'!$A$35:$I$55,7,0)),0%,VLOOKUP(A33,'Données projet'!$A$35:$I$55,7,0))</f>
        <v>0.15</v>
      </c>
      <c r="Z33" s="23">
        <f>EXP(-LN(2)/35)*Z32+(1-EXP(-LN(2)/35))/(LN(2)/35)*V33*W33*VLOOKUP('Données projet'!$B$9,Paramètres!$A$1:$I$89,3,0)*0.475*44/12</f>
        <v>4.7622467780616073</v>
      </c>
      <c r="AA33" s="23">
        <f>EXP(-LN(2)/25)*AA32+(1-EXP(-LN(2)/25))/(LN(2)/25)*Calculateur!V33*Calculateur!X33*VLOOKUP('Données projet'!$B$9,Paramètres!$A$1:$I$89,3,0)*0.475*44/12</f>
        <v>2.4111347949072535</v>
      </c>
      <c r="AB33" s="23">
        <f>EXP(-LN(2)/2)*AB32+(1-EXP(-LN(2)/2))/(LN(2)/2)*V33*Y33*VLOOKUP('Données projet'!$B$9,Paramètres!$A$1:$I$89,3,0)*0.475*44/12</f>
        <v>2.5770522725329874</v>
      </c>
      <c r="AC33" s="24">
        <f t="shared" si="3"/>
        <v>9.7504338455018491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480.40705575956315</v>
      </c>
      <c r="AN33" s="62">
        <f ca="1">AVERAGE(OFFSET($AM$3,0,0,'Données projet'!$E$10+1,1))-AVERAGE(OFFSET($H$3,0,0,'Données projet'!$E$10+1,1))</f>
        <v>165.12229410621887</v>
      </c>
      <c r="AO33" s="62">
        <f t="shared" si="36"/>
        <v>148.17171564653341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17.328999999999994</v>
      </c>
      <c r="D34" s="12">
        <f t="shared" si="32"/>
        <v>5.7297059045690339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177.99702803526966</v>
      </c>
      <c r="H34" s="70">
        <f t="shared" si="1"/>
        <v>333.49391278379102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129</v>
      </c>
      <c r="O34" s="14">
        <f>N34*VLOOKUP('Données projet'!$B$9,Paramètres!$A$1:$I$89,3,0)*VLOOKUP('Données projet'!$B$9,Paramètres!$A$1:$I$89,5,0)</f>
        <v>77.14200000000001</v>
      </c>
      <c r="P34" s="14">
        <f t="shared" si="33"/>
        <v>21.436915648510755</v>
      </c>
      <c r="Q34" s="22">
        <f t="shared" si="2"/>
        <v>171.69161142115624</v>
      </c>
      <c r="R34" s="62">
        <f t="shared" si="0"/>
        <v>465.02494475448952</v>
      </c>
      <c r="S34" s="62">
        <f ca="1">AVERAGE(OFFSET($R$3,0,0,'Données projet'!$E$9+1,1))-AVERAGE(OFFSET($H$3,0,0,'Données projet'!$E$9+1,1))</f>
        <v>215.01135052017145</v>
      </c>
      <c r="T34" s="62">
        <f t="shared" si="34"/>
        <v>136.68033570181791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4.6688620234275398</v>
      </c>
      <c r="AA34" s="23">
        <f>EXP(-LN(2)/25)*AA33+(1-EXP(-LN(2)/25))/(LN(2)/25)*Calculateur!V34*Calculateur!X34*VLOOKUP('Données projet'!$B$9,Paramètres!$A$1:$I$89,3,0)*0.475*44/12</f>
        <v>2.3452021871444466</v>
      </c>
      <c r="AB34" s="23">
        <f>EXP(-LN(2)/2)*AB33+(1-EXP(-LN(2)/2))/(LN(2)/2)*V34*Y34*VLOOKUP('Données projet'!$B$9,Paramètres!$A$1:$I$89,3,0)*0.475*44/12</f>
        <v>1.8222511373802783</v>
      </c>
      <c r="AC34" s="24">
        <f t="shared" si="3"/>
        <v>8.8363153479522651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487.49637397804884</v>
      </c>
      <c r="AN34" s="62">
        <f ca="1">AVERAGE(OFFSET($AM$3,0,0,'Données projet'!$E$10+1,1))-AVERAGE(OFFSET($H$3,0,0,'Données projet'!$E$10+1,1))</f>
        <v>165.12229410621887</v>
      </c>
      <c r="AO34" s="62">
        <f t="shared" si="36"/>
        <v>148.17171564653341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17.887999999999995</v>
      </c>
      <c r="D35" s="12">
        <f t="shared" si="32"/>
        <v>5.8927180139048909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183.57045484417804</v>
      </c>
      <c r="H35" s="70">
        <f t="shared" si="1"/>
        <v>334.75141720755096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139</v>
      </c>
      <c r="O35" s="14">
        <f>N35*VLOOKUP('Données projet'!$B$9,Paramètres!$A$1:$I$89,3,0)*VLOOKUP('Données projet'!$B$9,Paramètres!$A$1:$I$89,5,0)</f>
        <v>83.122000000000014</v>
      </c>
      <c r="P35" s="14">
        <f t="shared" si="33"/>
        <v>22.898820278178533</v>
      </c>
      <c r="Q35" s="22">
        <f t="shared" ref="Q35:Q66" si="53">(O35+P35)*0.475*44/12</f>
        <v>184.65292865116098</v>
      </c>
      <c r="R35" s="62">
        <f t="shared" si="0"/>
        <v>477.98626198449426</v>
      </c>
      <c r="S35" s="62">
        <f ca="1">AVERAGE(OFFSET($R$3,0,0,'Données projet'!$E$9+1,1))-AVERAGE(OFFSET($H$3,0,0,'Données projet'!$E$9+1,1))</f>
        <v>215.01135052017145</v>
      </c>
      <c r="T35" s="62">
        <f t="shared" si="34"/>
        <v>136.68033570181791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4.5773084868727709</v>
      </c>
      <c r="AA35" s="23">
        <f>EXP(-LN(2)/25)*AA34+(1-EXP(-LN(2)/25))/(LN(2)/25)*Calculateur!V35*Calculateur!X35*VLOOKUP('Données projet'!$B$9,Paramètres!$A$1:$I$89,3,0)*0.475*44/12</f>
        <v>2.2810725100081588</v>
      </c>
      <c r="AB35" s="23">
        <f>EXP(-LN(2)/2)*AB34+(1-EXP(-LN(2)/2))/(LN(2)/2)*V35*Y35*VLOOKUP('Données projet'!$B$9,Paramètres!$A$1:$I$89,3,0)*0.475*44/12</f>
        <v>1.2885261362664939</v>
      </c>
      <c r="AC35" s="24">
        <f t="shared" si="3"/>
        <v>8.1469071331474243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494.57967509950021</v>
      </c>
      <c r="AN35" s="62">
        <f ca="1">AVERAGE(OFFSET($AM$3,0,0,'Données projet'!$E$10+1,1))-AVERAGE(OFFSET($H$3,0,0,'Données projet'!$E$10+1,1))</f>
        <v>165.12229410621887</v>
      </c>
      <c r="AO35" s="62">
        <f t="shared" si="36"/>
        <v>148.17171564653341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18.446999999999996</v>
      </c>
      <c r="D36" s="12">
        <f t="shared" si="32"/>
        <v>6.0551381420288193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189.13931197355578</v>
      </c>
      <c r="H36" s="70">
        <f t="shared" si="1"/>
        <v>336.00789059736684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149</v>
      </c>
      <c r="O36" s="14">
        <f>N36*VLOOKUP('Données projet'!$B$9,Paramètres!$A$1:$I$89,3,0)*VLOOKUP('Données projet'!$B$9,Paramètres!$A$1:$I$89,5,0)</f>
        <v>89.102000000000018</v>
      </c>
      <c r="P36" s="14">
        <f t="shared" si="33"/>
        <v>24.348522781128082</v>
      </c>
      <c r="Q36" s="22">
        <f t="shared" si="53"/>
        <v>197.5929938437981</v>
      </c>
      <c r="R36" s="62">
        <f t="shared" si="0"/>
        <v>490.92632717713138</v>
      </c>
      <c r="S36" s="62">
        <f ca="1">AVERAGE(OFFSET($R$3,0,0,'Données projet'!$E$9+1,1))-AVERAGE(OFFSET($H$3,0,0,'Données projet'!$E$9+1,1))</f>
        <v>215.01135052017145</v>
      </c>
      <c r="T36" s="62">
        <f t="shared" si="34"/>
        <v>136.68033570181791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4.4875502593276977</v>
      </c>
      <c r="AA36" s="23">
        <f>EXP(-LN(2)/25)*AA35+(1-EXP(-LN(2)/25))/(LN(2)/25)*Calculateur!V36*Calculateur!X36*VLOOKUP('Données projet'!$B$9,Paramètres!$A$1:$I$89,3,0)*0.475*44/12</f>
        <v>2.218696462265596</v>
      </c>
      <c r="AB36" s="23">
        <f>EXP(-LN(2)/2)*AB35+(1-EXP(-LN(2)/2))/(LN(2)/2)*V36*Y36*VLOOKUP('Données projet'!$B$9,Paramètres!$A$1:$I$89,3,0)*0.475*44/12</f>
        <v>0.91112556869013928</v>
      </c>
      <c r="AC36" s="24">
        <f t="shared" si="3"/>
        <v>7.6173722902834333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501.65720110597539</v>
      </c>
      <c r="AN36" s="62">
        <f ca="1">AVERAGE(OFFSET($AM$3,0,0,'Données projet'!$E$10+1,1))-AVERAGE(OFFSET($H$3,0,0,'Données projet'!$E$10+1,1))</f>
        <v>165.12229410621887</v>
      </c>
      <c r="AO36" s="62">
        <f t="shared" si="36"/>
        <v>148.17171564653341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19.005999999999997</v>
      </c>
      <c r="D37" s="12">
        <f t="shared" si="32"/>
        <v>6.216986286773305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194.70375379263601</v>
      </c>
      <c r="H37" s="70">
        <f t="shared" si="1"/>
        <v>337.26336778279682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159</v>
      </c>
      <c r="O37" s="14">
        <f>N37*VLOOKUP('Données projet'!$B$9,Paramètres!$A$1:$I$89,3,0)*VLOOKUP('Données projet'!$B$9,Paramètres!$A$1:$I$89,5,0)</f>
        <v>95.082000000000008</v>
      </c>
      <c r="P37" s="14">
        <f t="shared" si="33"/>
        <v>25.786935269387122</v>
      </c>
      <c r="Q37" s="22">
        <f t="shared" si="53"/>
        <v>210.51339559418258</v>
      </c>
      <c r="R37" s="62">
        <f t="shared" si="0"/>
        <v>503.84672892751587</v>
      </c>
      <c r="S37" s="62">
        <f ca="1">AVERAGE(OFFSET($R$3,0,0,'Données projet'!$E$9+1,1))-AVERAGE(OFFSET($H$3,0,0,'Données projet'!$E$9+1,1))</f>
        <v>215.01135052017145</v>
      </c>
      <c r="T37" s="62">
        <f t="shared" si="34"/>
        <v>136.68033570181791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4.3995521358776699</v>
      </c>
      <c r="AA37" s="23">
        <f>EXP(-LN(2)/25)*AA36+(1-EXP(-LN(2)/25))/(LN(2)/25)*Calculateur!V37*Calculateur!X37*VLOOKUP('Données projet'!$B$9,Paramètres!$A$1:$I$89,3,0)*0.475*44/12</f>
        <v>2.1580260908287672</v>
      </c>
      <c r="AB37" s="23">
        <f>EXP(-LN(2)/2)*AB36+(1-EXP(-LN(2)/2))/(LN(2)/2)*V37*Y37*VLOOKUP('Données projet'!$B$9,Paramètres!$A$1:$I$89,3,0)*0.475*44/12</f>
        <v>0.64426306813324707</v>
      </c>
      <c r="AC37" s="24">
        <f t="shared" si="3"/>
        <v>7.2018412948396842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508.72917616926736</v>
      </c>
      <c r="AN37" s="62">
        <f ca="1">AVERAGE(OFFSET($AM$3,0,0,'Données projet'!$E$10+1,1))-AVERAGE(OFFSET($H$3,0,0,'Données projet'!$E$10+1,1))</f>
        <v>165.12229410621887</v>
      </c>
      <c r="AO37" s="62">
        <f t="shared" si="36"/>
        <v>148.17171564653341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19.564999999999998</v>
      </c>
      <c r="D38" s="12">
        <f t="shared" si="32"/>
        <v>6.3782812027501414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200.26392507386075</v>
      </c>
      <c r="H38" s="70">
        <f t="shared" si="1"/>
        <v>338.51788142812313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10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169</v>
      </c>
      <c r="O38" s="14">
        <f>N38*VLOOKUP('Données projet'!$B$9,Paramètres!$A$1:$I$89,3,0)*VLOOKUP('Données projet'!$B$9,Paramètres!$A$1:$I$89,5,0)</f>
        <v>101.06200000000001</v>
      </c>
      <c r="P38" s="14">
        <f t="shared" si="33"/>
        <v>27.214848638810562</v>
      </c>
      <c r="Q38" s="22">
        <f t="shared" si="53"/>
        <v>223.41551137926174</v>
      </c>
      <c r="R38" s="62">
        <f t="shared" si="0"/>
        <v>516.74884471259509</v>
      </c>
      <c r="S38" s="62">
        <f ca="1">AVERAGE(OFFSET($R$3,0,0,'Données projet'!$E$9+1,1))-AVERAGE(OFFSET($H$3,0,0,'Données projet'!$E$9+1,1))</f>
        <v>215.01135052017145</v>
      </c>
      <c r="T38" s="62">
        <f t="shared" si="34"/>
        <v>136.68033570181791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4.3132796019549415</v>
      </c>
      <c r="AA38" s="23">
        <f>EXP(-LN(2)/25)*AA37+(1-EXP(-LN(2)/25))/(LN(2)/25)*Calculateur!V38*Calculateur!X38*VLOOKUP('Données projet'!$B$9,Paramètres!$A$1:$I$89,3,0)*0.475*44/12</f>
        <v>2.0990147538893948</v>
      </c>
      <c r="AB38" s="23">
        <f>EXP(-LN(2)/2)*AB37+(1-EXP(-LN(2)/2))/(LN(2)/2)*V38*Y38*VLOOKUP('Données projet'!$B$9,Paramètres!$A$1:$I$89,3,0)*0.475*44/12</f>
        <v>0.45556278434506975</v>
      </c>
      <c r="AC38" s="24">
        <f t="shared" si="3"/>
        <v>6.8678571401894057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515.79580851661024</v>
      </c>
      <c r="AN38" s="62">
        <f ca="1">AVERAGE(OFFSET($AM$3,0,0,'Données projet'!$E$10+1,1))-AVERAGE(OFFSET($H$3,0,0,'Données projet'!$E$10+1,1))</f>
        <v>165.12229410621887</v>
      </c>
      <c r="AO38" s="62">
        <f t="shared" si="36"/>
        <v>148.17171564653341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39" s="12">
        <f t="shared" si="32"/>
        <v>6.539040511923969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205.81996184643063</v>
      </c>
      <c r="H39" s="70">
        <f t="shared" si="1"/>
        <v>339.77146222493423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12.4</v>
      </c>
      <c r="N39" s="14">
        <f>IF('Données projet'!$A$36&gt;35,N38+M39-V38,IF(A39&lt;'Données projet'!$A$36,$K$205^A39,IF(A39='Données projet'!$A$36,'Données projet'!$B$36,N38+M39-V38)))</f>
        <v>158.4</v>
      </c>
      <c r="O39" s="14">
        <f>N39*VLOOKUP('Données projet'!$B$9,Paramètres!$A$1:$I$89,3,0)*VLOOKUP('Données projet'!$B$9,Paramètres!$A$1:$I$89,5,0)</f>
        <v>94.723200000000006</v>
      </c>
      <c r="P39" s="14">
        <f t="shared" si="33"/>
        <v>25.700933959119112</v>
      </c>
      <c r="Q39" s="22">
        <f t="shared" si="53"/>
        <v>209.7386999787991</v>
      </c>
      <c r="R39" s="62">
        <f t="shared" si="0"/>
        <v>503.07203331213242</v>
      </c>
      <c r="S39" s="62">
        <f ca="1">AVERAGE(OFFSET($R$3,0,0,'Données projet'!$E$9+1,1))-AVERAGE(OFFSET($H$3,0,0,'Données projet'!$E$9+1,1))</f>
        <v>215.01135052017145</v>
      </c>
      <c r="T39" s="62">
        <f t="shared" si="34"/>
        <v>136.68033570181791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4.2286988198013882</v>
      </c>
      <c r="AA39" s="23">
        <f>EXP(-LN(2)/25)*AA38+(1-EXP(-LN(2)/25))/(LN(2)/25)*Calculateur!V39*Calculateur!X39*VLOOKUP('Données projet'!$B$9,Paramètres!$A$1:$I$89,3,0)*0.475*44/12</f>
        <v>2.0416170850619006</v>
      </c>
      <c r="AB39" s="23">
        <f>EXP(-LN(2)/2)*AB38+(1-EXP(-LN(2)/2))/(LN(2)/2)*V39*Y39*VLOOKUP('Données projet'!$B$9,Paramètres!$A$1:$I$89,3,0)*0.475*44/12</f>
        <v>0.32213153406662359</v>
      </c>
      <c r="AC39" s="24">
        <f t="shared" si="3"/>
        <v>6.5924474389299119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522.85729204658492</v>
      </c>
      <c r="AN39" s="62">
        <f ca="1">AVERAGE(OFFSET($AM$3,0,0,'Données projet'!$E$10+1,1))-AVERAGE(OFFSET($H$3,0,0,'Données projet'!$E$10+1,1))</f>
        <v>165.12229410621887</v>
      </c>
      <c r="AO39" s="62">
        <f t="shared" si="36"/>
        <v>148.17171564653341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</v>
      </c>
      <c r="D40" s="12">
        <f t="shared" si="32"/>
        <v>6.6992808015544387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211.37199215235009</v>
      </c>
      <c r="H40" s="70">
        <f t="shared" si="1"/>
        <v>341.02413906270726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12.4</v>
      </c>
      <c r="N40" s="14">
        <f>IF('Données projet'!$A$36&gt;35,N39+M40-V39,IF(A40&lt;'Données projet'!$A$36,$K$205^A40,IF(A40='Données projet'!$A$36,'Données projet'!$B$36,N39+M40-V39)))</f>
        <v>170.8</v>
      </c>
      <c r="O40" s="14">
        <f>N40*VLOOKUP('Données projet'!$B$9,Paramètres!$A$1:$I$89,3,0)*VLOOKUP('Données projet'!$B$9,Paramètres!$A$1:$I$89,5,0)</f>
        <v>102.13840000000002</v>
      </c>
      <c r="P40" s="14">
        <f t="shared" si="33"/>
        <v>27.470812821300004</v>
      </c>
      <c r="Q40" s="22">
        <f t="shared" si="53"/>
        <v>225.7360456637642</v>
      </c>
      <c r="R40" s="62">
        <f t="shared" si="0"/>
        <v>519.06937899709749</v>
      </c>
      <c r="S40" s="62">
        <f ca="1">AVERAGE(OFFSET($R$3,0,0,'Données projet'!$E$9+1,1))-AVERAGE(OFFSET($H$3,0,0,'Données projet'!$E$9+1,1))</f>
        <v>215.01135052017145</v>
      </c>
      <c r="T40" s="62">
        <f t="shared" si="34"/>
        <v>136.68033570181791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4.1457766151966835</v>
      </c>
      <c r="AA40" s="23">
        <f>EXP(-LN(2)/25)*AA39+(1-EXP(-LN(2)/25))/(LN(2)/25)*Calculateur!V40*Calculateur!X40*VLOOKUP('Données projet'!$B$9,Paramètres!$A$1:$I$89,3,0)*0.475*44/12</f>
        <v>1.9857889585069066</v>
      </c>
      <c r="AB40" s="23">
        <f>EXP(-LN(2)/2)*AB39+(1-EXP(-LN(2)/2))/(LN(2)/2)*V40*Y40*VLOOKUP('Données projet'!$B$9,Paramètres!$A$1:$I$89,3,0)*0.475*44/12</f>
        <v>0.2277813921725349</v>
      </c>
      <c r="AC40" s="24">
        <f t="shared" si="3"/>
        <v>6.3593469658761244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529.91380773549133</v>
      </c>
      <c r="AN40" s="62">
        <f ca="1">AVERAGE(OFFSET($AM$3,0,0,'Données projet'!$E$10+1,1))-AVERAGE(OFFSET($H$3,0,0,'Données projet'!$E$10+1,1))</f>
        <v>165.12229410621887</v>
      </c>
      <c r="AO40" s="62">
        <f t="shared" si="36"/>
        <v>148.17171564653341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21.242000000000001</v>
      </c>
      <c r="D41" s="12">
        <f t="shared" si="32"/>
        <v>6.859017711252279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216.92013671843867</v>
      </c>
      <c r="H41" s="70">
        <f t="shared" si="1"/>
        <v>342.27593918043101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12.4</v>
      </c>
      <c r="N41" s="14">
        <f>IF('Données projet'!$A$36&gt;35,N40+M41-V40,IF(A41&lt;'Données projet'!$A$36,$K$205^A41,IF(A41='Données projet'!$A$36,'Données projet'!$B$36,N40+M41-V40)))</f>
        <v>183.20000000000002</v>
      </c>
      <c r="O41" s="14">
        <f>N41*VLOOKUP('Données projet'!$B$9,Paramètres!$A$1:$I$89,3,0)*VLOOKUP('Données projet'!$B$9,Paramètres!$A$1:$I$89,5,0)</f>
        <v>109.55360000000002</v>
      </c>
      <c r="P41" s="14">
        <f t="shared" si="33"/>
        <v>29.225784372214765</v>
      </c>
      <c r="Q41" s="22">
        <f t="shared" si="53"/>
        <v>241.70742778160744</v>
      </c>
      <c r="R41" s="62">
        <f t="shared" si="0"/>
        <v>535.04076111494078</v>
      </c>
      <c r="S41" s="62">
        <f ca="1">AVERAGE(OFFSET($R$3,0,0,'Données projet'!$E$9+1,1))-AVERAGE(OFFSET($H$3,0,0,'Données projet'!$E$9+1,1))</f>
        <v>215.01135052017145</v>
      </c>
      <c r="T41" s="62">
        <f t="shared" si="34"/>
        <v>136.68033570181791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4.0644804644467261</v>
      </c>
      <c r="AA41" s="23">
        <f>EXP(-LN(2)/25)*AA40+(1-EXP(-LN(2)/25))/(LN(2)/25)*Calculateur!V41*Calculateur!X41*VLOOKUP('Données projet'!$B$9,Paramètres!$A$1:$I$89,3,0)*0.475*44/12</f>
        <v>1.9314874550084324</v>
      </c>
      <c r="AB41" s="23">
        <f>EXP(-LN(2)/2)*AB40+(1-EXP(-LN(2)/2))/(LN(2)/2)*V41*Y41*VLOOKUP('Données projet'!$B$9,Paramètres!$A$1:$I$89,3,0)*0.475*44/12</f>
        <v>0.16106576703331182</v>
      </c>
      <c r="AC41" s="24">
        <f t="shared" si="3"/>
        <v>6.1570336864884707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536.96552486693156</v>
      </c>
      <c r="AN41" s="62">
        <f ca="1">AVERAGE(OFFSET($AM$3,0,0,'Données projet'!$E$10+1,1))-AVERAGE(OFFSET($H$3,0,0,'Données projet'!$E$10+1,1))</f>
        <v>165.12229410621887</v>
      </c>
      <c r="AO41" s="62">
        <f t="shared" si="36"/>
        <v>148.17171564653341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21.801000000000002</v>
      </c>
      <c r="D42" s="12">
        <f t="shared" si="32"/>
        <v>7.0182660106137922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222.46450955561525</v>
      </c>
      <c r="H42" s="70">
        <f t="shared" si="1"/>
        <v>343.52688830181899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12.4</v>
      </c>
      <c r="N42" s="14">
        <f>IF('Données projet'!$A$36&gt;35,N41+M42-V41,IF(A42&lt;'Données projet'!$A$36,$K$205^A42,IF(A42='Données projet'!$A$36,'Données projet'!$B$36,N41+M42-V41)))</f>
        <v>195.60000000000002</v>
      </c>
      <c r="O42" s="14">
        <f>N42*VLOOKUP('Données projet'!$B$9,Paramètres!$A$1:$I$89,3,0)*VLOOKUP('Données projet'!$B$9,Paramètres!$A$1:$I$89,5,0)</f>
        <v>116.96880000000002</v>
      </c>
      <c r="P42" s="14">
        <f t="shared" si="33"/>
        <v>30.966972418998537</v>
      </c>
      <c r="Q42" s="22">
        <f t="shared" si="53"/>
        <v>257.6548036297558</v>
      </c>
      <c r="R42" s="62">
        <f t="shared" si="0"/>
        <v>550.98813696308912</v>
      </c>
      <c r="S42" s="62">
        <f ca="1">AVERAGE(OFFSET($R$3,0,0,'Données projet'!$E$9+1,1))-AVERAGE(OFFSET($H$3,0,0,'Données projet'!$E$9+1,1))</f>
        <v>215.01135052017145</v>
      </c>
      <c r="T42" s="62">
        <f t="shared" si="34"/>
        <v>136.68033570181791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3.9847784816272194</v>
      </c>
      <c r="AA42" s="23">
        <f>EXP(-LN(2)/25)*AA41+(1-EXP(-LN(2)/25))/(LN(2)/25)*Calculateur!V42*Calculateur!X42*VLOOKUP('Données projet'!$B$9,Paramètres!$A$1:$I$89,3,0)*0.475*44/12</f>
        <v>1.8786708289787162</v>
      </c>
      <c r="AB42" s="23">
        <f>EXP(-LN(2)/2)*AB41+(1-EXP(-LN(2)/2))/(LN(2)/2)*V42*Y42*VLOOKUP('Données projet'!$B$9,Paramètres!$A$1:$I$89,3,0)*0.475*44/12</f>
        <v>0.11389069608626746</v>
      </c>
      <c r="AC42" s="24">
        <f t="shared" si="3"/>
        <v>5.9773400066922031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544.0126021114105</v>
      </c>
      <c r="AN42" s="62">
        <f ca="1">AVERAGE(OFFSET($AM$3,0,0,'Données projet'!$E$10+1,1))-AVERAGE(OFFSET($H$3,0,0,'Données projet'!$E$10+1,1))</f>
        <v>165.12229410621887</v>
      </c>
      <c r="AO42" s="62">
        <f t="shared" si="36"/>
        <v>148.17171564653341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22.360000000000003</v>
      </c>
      <c r="D43" s="12">
        <f t="shared" si="32"/>
        <v>7.1770396686687832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228.00521849498713</v>
      </c>
      <c r="H43" s="70">
        <f t="shared" si="1"/>
        <v>344.77701075626476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208</v>
      </c>
      <c r="L43" s="13">
        <f>VLOOKUP(A43,'Données projet'!$A$35:$I$55,9,0)</f>
        <v>12.4</v>
      </c>
      <c r="M43" s="13">
        <f t="array" ref="M43">INDEX(L:L,MIN(IF(ISNUMBER(L43:L239),ROW(L43:L239),"")))</f>
        <v>12.4</v>
      </c>
      <c r="N43" s="14">
        <f>IF('Données projet'!$A$36&gt;35,N42+M43-V42,IF(A43&lt;'Données projet'!$A$36,$K$205^A43,IF(A43='Données projet'!$A$36,'Données projet'!$B$36,N42+M43-V42)))</f>
        <v>208.00000000000003</v>
      </c>
      <c r="O43" s="14">
        <f>N43*VLOOKUP('Données projet'!$B$9,Paramètres!$A$1:$I$89,3,0)*VLOOKUP('Données projet'!$B$9,Paramètres!$A$1:$I$89,5,0)</f>
        <v>124.38400000000003</v>
      </c>
      <c r="P43" s="14">
        <f t="shared" si="33"/>
        <v>32.695350227217695</v>
      </c>
      <c r="Q43" s="22">
        <f t="shared" si="53"/>
        <v>273.57986831240419</v>
      </c>
      <c r="R43" s="62">
        <f t="shared" si="0"/>
        <v>566.91320164573744</v>
      </c>
      <c r="S43" s="62">
        <f ca="1">AVERAGE(OFFSET($R$3,0,0,'Données projet'!$E$9+1,1))-AVERAGE(OFFSET($H$3,0,0,'Données projet'!$E$9+1,1))</f>
        <v>215.01135052017145</v>
      </c>
      <c r="T43" s="62">
        <f t="shared" si="34"/>
        <v>136.68033570181791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34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3.9066394060773941</v>
      </c>
      <c r="AA43" s="23">
        <f>EXP(-LN(2)/25)*AA42+(1-EXP(-LN(2)/25))/(LN(2)/25)*Calculateur!V43*Calculateur!X43*VLOOKUP('Données projet'!$B$9,Paramètres!$A$1:$I$89,3,0)*0.475*44/12</f>
        <v>1.827298476365288</v>
      </c>
      <c r="AB43" s="23">
        <f>EXP(-LN(2)/2)*AB42+(1-EXP(-LN(2)/2))/(LN(2)/2)*V43*Y43*VLOOKUP('Données projet'!$B$9,Paramètres!$A$1:$I$89,3,0)*0.475*44/12</f>
        <v>8.0532883516655912E-2</v>
      </c>
      <c r="AC43" s="24">
        <f t="shared" si="3"/>
        <v>5.8144707659593378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551.05518847804319</v>
      </c>
      <c r="AN43" s="62">
        <f ca="1">AVERAGE(OFFSET($AM$3,0,0,'Données projet'!$E$10+1,1))-AVERAGE(OFFSET($H$3,0,0,'Données projet'!$E$10+1,1))</f>
        <v>165.12229410621887</v>
      </c>
      <c r="AO43" s="62">
        <f t="shared" si="36"/>
        <v>148.17171564653341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22.919000000000004</v>
      </c>
      <c r="D44" s="12">
        <f t="shared" si="32"/>
        <v>7.3353519161881984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233.54236566882119</v>
      </c>
      <c r="H44" s="70">
        <f t="shared" si="1"/>
        <v>346.02632958736109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14.1</v>
      </c>
      <c r="N44" s="14">
        <f>IF('Données projet'!$A$36&gt;35,N43+M44-V43,IF(A44&lt;'Données projet'!$A$36,$K$205^A44,IF(A44='Données projet'!$A$36,'Données projet'!$B$36,N43+M44-V43)))</f>
        <v>188.10000000000002</v>
      </c>
      <c r="O44" s="14">
        <f>N44*VLOOKUP('Données projet'!$B$9,Paramètres!$A$1:$I$89,3,0)*VLOOKUP('Données projet'!$B$9,Paramètres!$A$1:$I$89,5,0)</f>
        <v>112.48380000000002</v>
      </c>
      <c r="P44" s="14">
        <f t="shared" si="33"/>
        <v>29.915424563902814</v>
      </c>
      <c r="Q44" s="22">
        <f t="shared" si="53"/>
        <v>248.01198278213079</v>
      </c>
      <c r="R44" s="62">
        <f t="shared" si="0"/>
        <v>541.34531611546413</v>
      </c>
      <c r="S44" s="62">
        <f ca="1">AVERAGE(OFFSET($R$3,0,0,'Données projet'!$E$9+1,1))-AVERAGE(OFFSET($H$3,0,0,'Données projet'!$E$9+1,1))</f>
        <v>215.01135052017145</v>
      </c>
      <c r="T44" s="62">
        <f t="shared" si="34"/>
        <v>136.68033570181791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3.8300325901389707</v>
      </c>
      <c r="AA44" s="23">
        <f>EXP(-LN(2)/25)*AA43+(1-EXP(-LN(2)/25))/(LN(2)/25)*Calculateur!V44*Calculateur!X44*VLOOKUP('Données projet'!$B$9,Paramètres!$A$1:$I$89,3,0)*0.475*44/12</f>
        <v>1.7773309034356286</v>
      </c>
      <c r="AB44" s="23">
        <f>EXP(-LN(2)/2)*AB43+(1-EXP(-LN(2)/2))/(LN(2)/2)*V44*Y44*VLOOKUP('Données projet'!$B$9,Paramètres!$A$1:$I$89,3,0)*0.475*44/12</f>
        <v>5.6945348043133732E-2</v>
      </c>
      <c r="AC44" s="24">
        <f t="shared" si="3"/>
        <v>5.664308841617733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494.57967509950021</v>
      </c>
      <c r="AN44" s="62">
        <f ca="1">AVERAGE(OFFSET($AM$3,0,0,'Données projet'!$E$10+1,1))-AVERAGE(OFFSET($H$3,0,0,'Données projet'!$E$10+1,1))</f>
        <v>165.12229410621887</v>
      </c>
      <c r="AO44" s="62">
        <f t="shared" si="36"/>
        <v>148.17171564653341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23.478000000000005</v>
      </c>
      <c r="D45" s="12">
        <f t="shared" si="32"/>
        <v>7.4932153017418228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239.07604794327025</v>
      </c>
      <c r="H45" s="70">
        <f t="shared" si="1"/>
        <v>347.27486665053368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14.1</v>
      </c>
      <c r="N45" s="14">
        <f>IF('Données projet'!$A$36&gt;35,N44+M45-V44,IF(A45&lt;'Données projet'!$A$36,$K$205^A45,IF(A45='Données projet'!$A$36,'Données projet'!$B$36,N44+M45-V44)))</f>
        <v>202.20000000000002</v>
      </c>
      <c r="O45" s="14">
        <f>N45*VLOOKUP('Données projet'!$B$9,Paramètres!$A$1:$I$89,3,0)*VLOOKUP('Données projet'!$B$9,Paramètres!$A$1:$I$89,5,0)</f>
        <v>120.91560000000003</v>
      </c>
      <c r="P45" s="14">
        <f t="shared" si="33"/>
        <v>31.888453396738488</v>
      </c>
      <c r="Q45" s="22">
        <f t="shared" si="53"/>
        <v>266.13372633265288</v>
      </c>
      <c r="R45" s="62">
        <f t="shared" si="0"/>
        <v>559.4670596659862</v>
      </c>
      <c r="S45" s="62">
        <f ca="1">AVERAGE(OFFSET($R$3,0,0,'Données projet'!$E$9+1,1))-AVERAGE(OFFSET($H$3,0,0,'Données projet'!$E$9+1,1))</f>
        <v>215.01135052017145</v>
      </c>
      <c r="T45" s="62">
        <f t="shared" si="34"/>
        <v>136.68033570181791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3.7549279871355559</v>
      </c>
      <c r="AA45" s="23">
        <f>EXP(-LN(2)/25)*AA44+(1-EXP(-LN(2)/25))/(LN(2)/25)*Calculateur!V45*Calculateur!X45*VLOOKUP('Données projet'!$B$9,Paramètres!$A$1:$I$89,3,0)*0.475*44/12</f>
        <v>1.7287296964154113</v>
      </c>
      <c r="AB45" s="23">
        <f>EXP(-LN(2)/2)*AB44+(1-EXP(-LN(2)/2))/(LN(2)/2)*V45*Y45*VLOOKUP('Données projet'!$B$9,Paramètres!$A$1:$I$89,3,0)*0.475*44/12</f>
        <v>4.0266441758327956E-2</v>
      </c>
      <c r="AC45" s="24">
        <f t="shared" si="3"/>
        <v>5.5239241253092946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501.65720110597539</v>
      </c>
      <c r="AN45" s="62">
        <f ca="1">AVERAGE(OFFSET($AM$3,0,0,'Données projet'!$E$10+1,1))-AVERAGE(OFFSET($H$3,0,0,'Données projet'!$E$10+1,1))</f>
        <v>165.12229410621887</v>
      </c>
      <c r="AO45" s="62">
        <f t="shared" si="36"/>
        <v>148.17171564653341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24.037000000000006</v>
      </c>
      <c r="D46" s="12">
        <f t="shared" si="32"/>
        <v>7.6506417422667603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244.60635730872593</v>
      </c>
      <c r="H46" s="70">
        <f t="shared" si="1"/>
        <v>348.52264270111459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14.1</v>
      </c>
      <c r="N46" s="14">
        <f>IF('Données projet'!$A$36&gt;35,N45+M46-V45,IF(A46&lt;'Données projet'!$A$36,$K$205^A46,IF(A46='Données projet'!$A$36,'Données projet'!$B$36,N45+M46-V45)))</f>
        <v>216.3</v>
      </c>
      <c r="O46" s="14">
        <f>N46*VLOOKUP('Données projet'!$B$9,Paramètres!$A$1:$I$89,3,0)*VLOOKUP('Données projet'!$B$9,Paramètres!$A$1:$I$89,5,0)</f>
        <v>129.34740000000002</v>
      </c>
      <c r="P46" s="14">
        <f t="shared" si="33"/>
        <v>33.845518493267228</v>
      </c>
      <c r="Q46" s="22">
        <f t="shared" si="53"/>
        <v>284.22766637577377</v>
      </c>
      <c r="R46" s="62">
        <f t="shared" si="0"/>
        <v>577.56099970910714</v>
      </c>
      <c r="S46" s="62">
        <f ca="1">AVERAGE(OFFSET($R$3,0,0,'Données projet'!$E$9+1,1))-AVERAGE(OFFSET($H$3,0,0,'Données projet'!$E$9+1,1))</f>
        <v>215.01135052017145</v>
      </c>
      <c r="T46" s="62">
        <f t="shared" si="34"/>
        <v>136.68033570181791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3.6812961395877535</v>
      </c>
      <c r="AA46" s="23">
        <f>EXP(-LN(2)/25)*AA45+(1-EXP(-LN(2)/25))/(LN(2)/25)*Calculateur!V46*Calculateur!X46*VLOOKUP('Données projet'!$B$9,Paramètres!$A$1:$I$89,3,0)*0.475*44/12</f>
        <v>1.6814574919569882</v>
      </c>
      <c r="AB46" s="23">
        <f>EXP(-LN(2)/2)*AB45+(1-EXP(-LN(2)/2))/(LN(2)/2)*V46*Y46*VLOOKUP('Données projet'!$B$9,Paramètres!$A$1:$I$89,3,0)*0.475*44/12</f>
        <v>2.8472674021566866E-2</v>
      </c>
      <c r="AC46" s="24">
        <f t="shared" si="3"/>
        <v>5.3912263055663088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508.72917616926736</v>
      </c>
      <c r="AN46" s="62">
        <f ca="1">AVERAGE(OFFSET($AM$3,0,0,'Données projet'!$E$10+1,1))-AVERAGE(OFFSET($H$3,0,0,'Données projet'!$E$10+1,1))</f>
        <v>165.12229410621887</v>
      </c>
      <c r="AO46" s="62">
        <f t="shared" si="36"/>
        <v>148.17171564653341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24.596000000000007</v>
      </c>
      <c r="D47" s="12">
        <f t="shared" si="32"/>
        <v>7.8076425687993289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250.13338123283697</v>
      </c>
      <c r="H47" s="70">
        <f t="shared" si="1"/>
        <v>349.76967747399215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14.1</v>
      </c>
      <c r="N47" s="14">
        <f>IF('Données projet'!$A$36&gt;35,N46+M47-V46,IF(A47&lt;'Données projet'!$A$36,$K$205^A47,IF(A47='Données projet'!$A$36,'Données projet'!$B$36,N46+M47-V46)))</f>
        <v>230.4</v>
      </c>
      <c r="O47" s="14">
        <f>N47*VLOOKUP('Données projet'!$B$9,Paramètres!$A$1:$I$89,3,0)*VLOOKUP('Données projet'!$B$9,Paramètres!$A$1:$I$89,5,0)</f>
        <v>137.7792</v>
      </c>
      <c r="P47" s="14">
        <f t="shared" si="33"/>
        <v>35.787778913287674</v>
      </c>
      <c r="Q47" s="22">
        <f t="shared" si="53"/>
        <v>302.29582160730934</v>
      </c>
      <c r="R47" s="62">
        <f t="shared" si="0"/>
        <v>595.62915494064259</v>
      </c>
      <c r="S47" s="62">
        <f ca="1">AVERAGE(OFFSET($R$3,0,0,'Données projet'!$E$9+1,1))-AVERAGE(OFFSET($H$3,0,0,'Données projet'!$E$9+1,1))</f>
        <v>215.01135052017145</v>
      </c>
      <c r="T47" s="62">
        <f t="shared" si="34"/>
        <v>136.68033570181791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3.6091081676593708</v>
      </c>
      <c r="AA47" s="23">
        <f>EXP(-LN(2)/25)*AA46+(1-EXP(-LN(2)/25))/(LN(2)/25)*Calculateur!V47*Calculateur!X47*VLOOKUP('Données projet'!$B$9,Paramètres!$A$1:$I$89,3,0)*0.475*44/12</f>
        <v>1.6354779484154178</v>
      </c>
      <c r="AB47" s="23">
        <f>EXP(-LN(2)/2)*AB46+(1-EXP(-LN(2)/2))/(LN(2)/2)*V47*Y47*VLOOKUP('Données projet'!$B$9,Paramètres!$A$1:$I$89,3,0)*0.475*44/12</f>
        <v>2.0133220879163978E-2</v>
      </c>
      <c r="AC47" s="24">
        <f t="shared" si="3"/>
        <v>5.2647193369539531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515.79580851661024</v>
      </c>
      <c r="AN47" s="62">
        <f ca="1">AVERAGE(OFFSET($AM$3,0,0,'Données projet'!$E$10+1,1))-AVERAGE(OFFSET($H$3,0,0,'Données projet'!$E$10+1,1))</f>
        <v>165.12229410621887</v>
      </c>
      <c r="AO47" s="62">
        <f t="shared" si="36"/>
        <v>148.17171564653341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25.155000000000008</v>
      </c>
      <c r="D48" s="12">
        <f t="shared" si="32"/>
        <v>7.9642285679322873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255.65720298053</v>
      </c>
      <c r="H48" s="70">
        <f t="shared" si="1"/>
        <v>351.01598975581538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14.1</v>
      </c>
      <c r="N48" s="14">
        <f>IF('Données projet'!$A$36&gt;35,N47+M48-V47,IF(A48&lt;'Données projet'!$A$36,$K$205^A48,IF(A48='Données projet'!$A$36,'Données projet'!$B$36,N47+M48-V47)))</f>
        <v>244.5</v>
      </c>
      <c r="O48" s="14">
        <f>N48*VLOOKUP('Données projet'!$B$9,Paramètres!$A$1:$I$89,3,0)*VLOOKUP('Données projet'!$B$9,Paramètres!$A$1:$I$89,5,0)</f>
        <v>146.21100000000001</v>
      </c>
      <c r="P48" s="14">
        <f t="shared" si="33"/>
        <v>37.71624383608448</v>
      </c>
      <c r="Q48" s="22">
        <f t="shared" si="53"/>
        <v>320.33994968118049</v>
      </c>
      <c r="R48" s="62">
        <f t="shared" si="0"/>
        <v>613.6732830145138</v>
      </c>
      <c r="S48" s="62">
        <f ca="1">AVERAGE(OFFSET($R$3,0,0,'Données projet'!$E$9+1,1))-AVERAGE(OFFSET($H$3,0,0,'Données projet'!$E$9+1,1))</f>
        <v>215.01135052017145</v>
      </c>
      <c r="T48" s="62">
        <f t="shared" si="34"/>
        <v>136.68033570181791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3.5383357578301888</v>
      </c>
      <c r="AA48" s="23">
        <f>EXP(-LN(2)/25)*AA47+(1-EXP(-LN(2)/25))/(LN(2)/25)*Calculateur!V48*Calculateur!X48*VLOOKUP('Données projet'!$B$9,Paramètres!$A$1:$I$89,3,0)*0.475*44/12</f>
        <v>1.590755717909951</v>
      </c>
      <c r="AB48" s="23">
        <f>EXP(-LN(2)/2)*AB47+(1-EXP(-LN(2)/2))/(LN(2)/2)*V48*Y48*VLOOKUP('Données projet'!$B$9,Paramètres!$A$1:$I$89,3,0)*0.475*44/12</f>
        <v>1.4236337010783433E-2</v>
      </c>
      <c r="AC48" s="24">
        <f t="shared" si="3"/>
        <v>5.1433278127509228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522.85729204658492</v>
      </c>
      <c r="AN48" s="62">
        <f ca="1">AVERAGE(OFFSET($AM$3,0,0,'Données projet'!$E$10+1,1))-AVERAGE(OFFSET($H$3,0,0,'Données projet'!$E$10+1,1))</f>
        <v>165.12229410621887</v>
      </c>
      <c r="AO48" s="62">
        <f t="shared" si="36"/>
        <v>148.17171564653341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25.714000000000009</v>
      </c>
      <c r="D49" s="12">
        <f t="shared" si="32"/>
        <v>8.1204100194831259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261.17790190478212</v>
      </c>
      <c r="H49" s="70">
        <f t="shared" si="1"/>
        <v>352.26159745059977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14.1</v>
      </c>
      <c r="N49" s="14">
        <f>IF('Données projet'!$A$36&gt;35,N48+M49-V48,IF(A49&lt;'Données projet'!$A$36,$K$205^A49,IF(A49='Données projet'!$A$36,'Données projet'!$B$36,N48+M49-V48)))</f>
        <v>258.60000000000002</v>
      </c>
      <c r="O49" s="14">
        <f>N49*VLOOKUP('Données projet'!$B$9,Paramètres!$A$1:$I$89,3,0)*VLOOKUP('Données projet'!$B$9,Paramètres!$A$1:$I$89,5,0)</f>
        <v>154.64280000000002</v>
      </c>
      <c r="P49" s="14">
        <f t="shared" si="33"/>
        <v>39.631799470164985</v>
      </c>
      <c r="Q49" s="22">
        <f t="shared" si="53"/>
        <v>338.36159407720407</v>
      </c>
      <c r="R49" s="62">
        <f t="shared" si="0"/>
        <v>631.69492741053739</v>
      </c>
      <c r="S49" s="62">
        <f ca="1">AVERAGE(OFFSET($R$3,0,0,'Données projet'!$E$9+1,1))-AVERAGE(OFFSET($H$3,0,0,'Données projet'!$E$9+1,1))</f>
        <v>215.01135052017145</v>
      </c>
      <c r="T49" s="62">
        <f t="shared" si="34"/>
        <v>136.68033570181791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3.4689511517908493</v>
      </c>
      <c r="AA49" s="23">
        <f>EXP(-LN(2)/25)*AA48+(1-EXP(-LN(2)/25))/(LN(2)/25)*Calculateur!V49*Calculateur!X49*VLOOKUP('Données projet'!$B$9,Paramètres!$A$1:$I$89,3,0)*0.475*44/12</f>
        <v>1.547256419149496</v>
      </c>
      <c r="AB49" s="23">
        <f>EXP(-LN(2)/2)*AB48+(1-EXP(-LN(2)/2))/(LN(2)/2)*V49*Y49*VLOOKUP('Données projet'!$B$9,Paramètres!$A$1:$I$89,3,0)*0.475*44/12</f>
        <v>1.0066610439581989E-2</v>
      </c>
      <c r="AC49" s="24">
        <f t="shared" si="3"/>
        <v>5.026274181379927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529.91380773549133</v>
      </c>
      <c r="AN49" s="62">
        <f ca="1">AVERAGE(OFFSET($AM$3,0,0,'Données projet'!$E$10+1,1))-AVERAGE(OFFSET($H$3,0,0,'Données projet'!$E$10+1,1))</f>
        <v>165.12229410621887</v>
      </c>
      <c r="AO49" s="62">
        <f t="shared" si="36"/>
        <v>148.17171564653341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26.27300000000001</v>
      </c>
      <c r="D50" s="12">
        <f t="shared" si="32"/>
        <v>8.2761967307944264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266.69555371139563</v>
      </c>
      <c r="H50" s="70">
        <f t="shared" si="1"/>
        <v>353.50651763946695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14.1</v>
      </c>
      <c r="N50" s="14">
        <f>IF('Données projet'!$A$36&gt;35,N49+M50-V49,IF(A50&lt;'Données projet'!$A$36,$K$205^A50,IF(A50='Données projet'!$A$36,'Données projet'!$B$36,N49+M50-V49)))</f>
        <v>272.70000000000005</v>
      </c>
      <c r="O50" s="14">
        <f>N50*VLOOKUP('Données projet'!$B$9,Paramètres!$A$1:$I$89,3,0)*VLOOKUP('Données projet'!$B$9,Paramètres!$A$1:$I$89,5,0)</f>
        <v>163.07460000000003</v>
      </c>
      <c r="P50" s="14">
        <f t="shared" si="33"/>
        <v>41.535229926099966</v>
      </c>
      <c r="Q50" s="22">
        <f t="shared" si="53"/>
        <v>356.36212045462412</v>
      </c>
      <c r="R50" s="62">
        <f t="shared" si="0"/>
        <v>649.69545378795738</v>
      </c>
      <c r="S50" s="62">
        <f ca="1">AVERAGE(OFFSET($R$3,0,0,'Données projet'!$E$9+1,1))-AVERAGE(OFFSET($H$3,0,0,'Données projet'!$E$9+1,1))</f>
        <v>215.01135052017145</v>
      </c>
      <c r="T50" s="62">
        <f t="shared" si="34"/>
        <v>136.68033570181791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3.4009271355555106</v>
      </c>
      <c r="AA50" s="23">
        <f>EXP(-LN(2)/25)*AA49+(1-EXP(-LN(2)/25))/(LN(2)/25)*Calculateur!V50*Calculateur!X50*VLOOKUP('Données projet'!$B$9,Paramètres!$A$1:$I$89,3,0)*0.475*44/12</f>
        <v>1.5049466110011742</v>
      </c>
      <c r="AB50" s="23">
        <f>EXP(-LN(2)/2)*AB49+(1-EXP(-LN(2)/2))/(LN(2)/2)*V50*Y50*VLOOKUP('Données projet'!$B$9,Paramètres!$A$1:$I$89,3,0)*0.475*44/12</f>
        <v>7.1181685053917166E-3</v>
      </c>
      <c r="AC50" s="24">
        <f t="shared" si="3"/>
        <v>4.9129919150620767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536.96552486693156</v>
      </c>
      <c r="AN50" s="62">
        <f ca="1">AVERAGE(OFFSET($AM$3,0,0,'Données projet'!$E$10+1,1))-AVERAGE(OFFSET($H$3,0,0,'Données projet'!$E$10+1,1))</f>
        <v>165.12229410621887</v>
      </c>
      <c r="AO50" s="62">
        <f t="shared" si="36"/>
        <v>148.17171564653341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26.832000000000011</v>
      </c>
      <c r="D51" s="12">
        <f t="shared" si="32"/>
        <v>8.4315980680326348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272.21023070060295</v>
      </c>
      <c r="H51" s="70">
        <f t="shared" si="1"/>
        <v>354.75076663515682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14.1</v>
      </c>
      <c r="N51" s="14">
        <f>IF('Données projet'!$A$36&gt;35,N50+M51-V50,IF(A51&lt;'Données projet'!$A$36,$K$205^A51,IF(A51='Données projet'!$A$36,'Données projet'!$B$36,N50+M51-V50)))</f>
        <v>286.80000000000007</v>
      </c>
      <c r="O51" s="14">
        <f>N51*VLOOKUP('Données projet'!$B$9,Paramètres!$A$1:$I$89,3,0)*VLOOKUP('Données projet'!$B$9,Paramètres!$A$1:$I$89,5,0)</f>
        <v>171.50640000000004</v>
      </c>
      <c r="P51" s="14">
        <f t="shared" si="33"/>
        <v>43.427233649451665</v>
      </c>
      <c r="Q51" s="22">
        <f t="shared" si="53"/>
        <v>374.34274527279507</v>
      </c>
      <c r="R51" s="62">
        <f t="shared" si="0"/>
        <v>667.67607860612839</v>
      </c>
      <c r="S51" s="62">
        <f ca="1">AVERAGE(OFFSET($R$3,0,0,'Données projet'!$E$9+1,1))-AVERAGE(OFFSET($H$3,0,0,'Données projet'!$E$9+1,1))</f>
        <v>215.01135052017145</v>
      </c>
      <c r="T51" s="62">
        <f t="shared" si="34"/>
        <v>136.68033570181791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3.3342370287879937</v>
      </c>
      <c r="AA51" s="23">
        <f>EXP(-LN(2)/25)*AA50+(1-EXP(-LN(2)/25))/(LN(2)/25)*Calculateur!V51*Calculateur!X51*VLOOKUP('Données projet'!$B$9,Paramètres!$A$1:$I$89,3,0)*0.475*44/12</f>
        <v>1.4637937667816445</v>
      </c>
      <c r="AB51" s="23">
        <f>EXP(-LN(2)/2)*AB50+(1-EXP(-LN(2)/2))/(LN(2)/2)*V51*Y51*VLOOKUP('Données projet'!$B$9,Paramètres!$A$1:$I$89,3,0)*0.475*44/12</f>
        <v>5.0333052197909945E-3</v>
      </c>
      <c r="AC51" s="24">
        <f t="shared" si="3"/>
        <v>4.8030641007894292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544.0126021114105</v>
      </c>
      <c r="AN51" s="62">
        <f ca="1">AVERAGE(OFFSET($AM$3,0,0,'Données projet'!$E$10+1,1))-AVERAGE(OFFSET($H$3,0,0,'Données projet'!$E$10+1,1))</f>
        <v>165.12229410621887</v>
      </c>
      <c r="AO51" s="62">
        <f t="shared" si="36"/>
        <v>148.17171564653341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27.391000000000012</v>
      </c>
      <c r="D52" s="12">
        <f t="shared" si="32"/>
        <v>8.586622984805059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277.72200198796901</v>
      </c>
      <c r="H52" s="70">
        <f t="shared" si="1"/>
        <v>355.99436003186884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14.1</v>
      </c>
      <c r="N52" s="14">
        <f>IF('Données projet'!$A$36&gt;35,N51+M52-V51,IF(A52&lt;'Données projet'!$A$36,$K$205^A52,IF(A52='Données projet'!$A$36,'Données projet'!$B$36,N51+M52-V51)))</f>
        <v>300.90000000000009</v>
      </c>
      <c r="O52" s="14">
        <f>N52*VLOOKUP('Données projet'!$B$9,Paramètres!$A$1:$I$89,3,0)*VLOOKUP('Données projet'!$B$9,Paramètres!$A$1:$I$89,5,0)</f>
        <v>179.93820000000005</v>
      </c>
      <c r="P52" s="14">
        <f t="shared" si="33"/>
        <v>45.308436530386629</v>
      </c>
      <c r="Q52" s="22">
        <f t="shared" si="53"/>
        <v>392.30455862375675</v>
      </c>
      <c r="R52" s="62">
        <f t="shared" si="0"/>
        <v>685.63789195709001</v>
      </c>
      <c r="S52" s="62">
        <f ca="1">AVERAGE(OFFSET($R$3,0,0,'Données projet'!$E$9+1,1))-AVERAGE(OFFSET($H$3,0,0,'Données projet'!$E$9+1,1))</f>
        <v>215.01135052017145</v>
      </c>
      <c r="T52" s="62">
        <f t="shared" si="34"/>
        <v>136.68033570181791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3.2688546743372391</v>
      </c>
      <c r="AA52" s="23">
        <f>EXP(-LN(2)/25)*AA51+(1-EXP(-LN(2)/25))/(LN(2)/25)*Calculateur!V52*Calculateur!X52*VLOOKUP('Données projet'!$B$9,Paramètres!$A$1:$I$89,3,0)*0.475*44/12</f>
        <v>1.4237662492514318</v>
      </c>
      <c r="AB52" s="23">
        <f>EXP(-LN(2)/2)*AB51+(1-EXP(-LN(2)/2))/(LN(2)/2)*V52*Y52*VLOOKUP('Données projet'!$B$9,Paramètres!$A$1:$I$89,3,0)*0.475*44/12</f>
        <v>3.5590842526958583E-3</v>
      </c>
      <c r="AC52" s="24">
        <f t="shared" si="3"/>
        <v>4.6961800078413667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551.05518847804319</v>
      </c>
      <c r="AN52" s="62">
        <f ca="1">AVERAGE(OFFSET($AM$3,0,0,'Données projet'!$E$10+1,1))-AVERAGE(OFFSET($H$3,0,0,'Données projet'!$E$10+1,1))</f>
        <v>165.12229410621887</v>
      </c>
      <c r="AO52" s="62">
        <f t="shared" si="36"/>
        <v>148.17171564653341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27.950000000000014</v>
      </c>
      <c r="D53" s="12">
        <f t="shared" si="32"/>
        <v>8.7412800483747457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283.23093370675252</v>
      </c>
      <c r="H53" s="70">
        <f t="shared" si="1"/>
        <v>357.23731275091933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315</v>
      </c>
      <c r="L53" s="13">
        <f>VLOOKUP(A53,'Données projet'!$A$35:$I$55,9,0)</f>
        <v>14.1</v>
      </c>
      <c r="M53" s="13">
        <f t="array" ref="M53">INDEX(L:L,MIN(IF(ISNUMBER(L53:L249),ROW(L53:L249),"")))</f>
        <v>14.1</v>
      </c>
      <c r="N53" s="14">
        <f>IF('Données projet'!$A$36&gt;35,N52+M53-V52,IF(A53&lt;'Données projet'!$A$36,$K$205^A53,IF(A53='Données projet'!$A$36,'Données projet'!$B$36,N52+M53-V52)))</f>
        <v>315.00000000000011</v>
      </c>
      <c r="O53" s="14">
        <f>N53*VLOOKUP('Données projet'!$B$9,Paramètres!$A$1:$I$89,3,0)*VLOOKUP('Données projet'!$B$9,Paramètres!$A$1:$I$89,5,0)</f>
        <v>188.37000000000009</v>
      </c>
      <c r="P53" s="14">
        <f t="shared" si="33"/>
        <v>47.179402486491341</v>
      </c>
      <c r="Q53" s="22">
        <f t="shared" si="53"/>
        <v>410.24854266397256</v>
      </c>
      <c r="R53" s="62">
        <f t="shared" si="0"/>
        <v>703.58187599730581</v>
      </c>
      <c r="S53" s="62">
        <f ca="1">AVERAGE(OFFSET($R$3,0,0,'Données projet'!$E$9+1,1))-AVERAGE(OFFSET($H$3,0,0,'Données projet'!$E$9+1,1))</f>
        <v>215.01135052017145</v>
      </c>
      <c r="T53" s="62">
        <f t="shared" si="34"/>
        <v>136.68033570181791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79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3.2047544279779654</v>
      </c>
      <c r="AA53" s="23">
        <f>EXP(-LN(2)/25)*AA52+(1-EXP(-LN(2)/25))/(LN(2)/25)*Calculateur!V53*Calculateur!X53*VLOOKUP('Données projet'!$B$9,Paramètres!$A$1:$I$89,3,0)*0.475*44/12</f>
        <v>1.3848332862930384</v>
      </c>
      <c r="AB53" s="23">
        <f>EXP(-LN(2)/2)*AB52+(1-EXP(-LN(2)/2))/(LN(2)/2)*V53*Y53*VLOOKUP('Données projet'!$B$9,Paramètres!$A$1:$I$89,3,0)*0.475*44/12</f>
        <v>2.5166526098954973E-3</v>
      </c>
      <c r="AC53" s="24">
        <f t="shared" si="3"/>
        <v>4.5921043668808998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558.0934241566722</v>
      </c>
      <c r="AN53" s="62">
        <f ca="1">AVERAGE(OFFSET($AM$3,0,0,'Données projet'!$E$10+1,1))-AVERAGE(OFFSET($H$3,0,0,'Données projet'!$E$10+1,1))</f>
        <v>165.12229410621887</v>
      </c>
      <c r="AO53" s="62">
        <f t="shared" si="36"/>
        <v>148.17171564653341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28.509000000000015</v>
      </c>
      <c r="D54" s="12">
        <f t="shared" si="32"/>
        <v>8.8955774637189755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288.73708919362031</v>
      </c>
      <c r="H54" s="70">
        <f t="shared" si="1"/>
        <v>358.47963908264387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15.7</v>
      </c>
      <c r="N54" s="14">
        <f>IF('Données projet'!$A$36&gt;35,N53+M54-V53,IF(A54&lt;'Données projet'!$A$36,$K$205^A54,IF(A54='Données projet'!$A$36,'Données projet'!$B$36,N53+M54-V53)))</f>
        <v>251.7000000000001</v>
      </c>
      <c r="O54" s="14">
        <f>N54*VLOOKUP('Données projet'!$B$9,Paramètres!$A$1:$I$89,3,0)*VLOOKUP('Données projet'!$B$9,Paramètres!$A$1:$I$89,5,0)</f>
        <v>150.51660000000007</v>
      </c>
      <c r="P54" s="14">
        <f t="shared" si="33"/>
        <v>38.695961323116059</v>
      </c>
      <c r="Q54" s="22">
        <f t="shared" si="53"/>
        <v>329.54521097109392</v>
      </c>
      <c r="R54" s="62">
        <f t="shared" si="0"/>
        <v>622.87854430442724</v>
      </c>
      <c r="S54" s="62">
        <f ca="1">AVERAGE(OFFSET($R$3,0,0,'Données projet'!$E$9+1,1))-AVERAGE(OFFSET($H$3,0,0,'Données projet'!$E$9+1,1))</f>
        <v>215.01135052017145</v>
      </c>
      <c r="T54" s="62">
        <f t="shared" si="34"/>
        <v>136.68033570181791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3.1419111483525071</v>
      </c>
      <c r="AA54" s="23">
        <f>EXP(-LN(2)/25)*AA53+(1-EXP(-LN(2)/25))/(LN(2)/25)*Calculateur!V54*Calculateur!X54*VLOOKUP('Données projet'!$B$9,Paramètres!$A$1:$I$89,3,0)*0.475*44/12</f>
        <v>1.3469649472541378</v>
      </c>
      <c r="AB54" s="23">
        <f>EXP(-LN(2)/2)*AB53+(1-EXP(-LN(2)/2))/(LN(2)/2)*V54*Y54*VLOOKUP('Données projet'!$B$9,Paramètres!$A$1:$I$89,3,0)*0.475*44/12</f>
        <v>1.7795421263479291E-3</v>
      </c>
      <c r="AC54" s="24">
        <f t="shared" si="3"/>
        <v>4.4906556377329929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566.13196383922002</v>
      </c>
      <c r="AN54" s="62">
        <f ca="1">AVERAGE(OFFSET($AM$3,0,0,'Données projet'!$E$10+1,1))-AVERAGE(OFFSET($H$3,0,0,'Données projet'!$E$10+1,1))</f>
        <v>165.12229410621887</v>
      </c>
      <c r="AO54" s="62">
        <f t="shared" si="36"/>
        <v>148.17171564653341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29.068000000000016</v>
      </c>
      <c r="D55" s="12">
        <f t="shared" si="32"/>
        <v>9.0495230956474586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294.24052915938398</v>
      </c>
      <c r="H55" s="70">
        <f t="shared" si="1"/>
        <v>359.72135272491931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15.7</v>
      </c>
      <c r="N55" s="14">
        <f>IF('Données projet'!$A$36&gt;35,N54+M55-V54,IF(A55&lt;'Données projet'!$A$36,$K$205^A55,IF(A55='Données projet'!$A$36,'Données projet'!$B$36,N54+M55-V54)))</f>
        <v>267.40000000000009</v>
      </c>
      <c r="O55" s="14">
        <f>N55*VLOOKUP('Données projet'!$B$9,Paramètres!$A$1:$I$89,3,0)*VLOOKUP('Données projet'!$B$9,Paramètres!$A$1:$I$89,5,0)</f>
        <v>159.90520000000006</v>
      </c>
      <c r="P55" s="14">
        <f t="shared" si="33"/>
        <v>40.821132264574658</v>
      </c>
      <c r="Q55" s="22">
        <f t="shared" si="53"/>
        <v>349.59836202746766</v>
      </c>
      <c r="R55" s="62">
        <f t="shared" si="0"/>
        <v>642.93169536080097</v>
      </c>
      <c r="S55" s="62">
        <f ca="1">AVERAGE(OFFSET($R$3,0,0,'Données projet'!$E$9+1,1))-AVERAGE(OFFSET($H$3,0,0,'Données projet'!$E$9+1,1))</f>
        <v>215.01135052017145</v>
      </c>
      <c r="T55" s="62">
        <f t="shared" si="34"/>
        <v>136.68033570181791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3.0803001871098883</v>
      </c>
      <c r="AA55" s="23">
        <f>EXP(-LN(2)/25)*AA54+(1-EXP(-LN(2)/25))/(LN(2)/25)*Calculateur!V55*Calculateur!X55*VLOOKUP('Données projet'!$B$9,Paramètres!$A$1:$I$89,3,0)*0.475*44/12</f>
        <v>1.3101321199376654</v>
      </c>
      <c r="AB55" s="23">
        <f>EXP(-LN(2)/2)*AB54+(1-EXP(-LN(2)/2))/(LN(2)/2)*V55*Y55*VLOOKUP('Données projet'!$B$9,Paramètres!$A$1:$I$89,3,0)*0.475*44/12</f>
        <v>1.2583263049477486E-3</v>
      </c>
      <c r="AC55" s="24">
        <f t="shared" si="3"/>
        <v>4.3916906333525016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574.16517874675026</v>
      </c>
      <c r="AN55" s="62">
        <f ca="1">AVERAGE(OFFSET($AM$3,0,0,'Données projet'!$E$10+1,1))-AVERAGE(OFFSET($H$3,0,0,'Données projet'!$E$10+1,1))</f>
        <v>165.12229410621887</v>
      </c>
      <c r="AO55" s="62">
        <f t="shared" si="36"/>
        <v>148.17171564653341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29.627000000000017</v>
      </c>
      <c r="D56" s="12">
        <f t="shared" si="32"/>
        <v>9.2031244891710831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299.74131184623303</v>
      </c>
      <c r="H56" s="70">
        <f t="shared" si="1"/>
        <v>360.96246681863965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15.7</v>
      </c>
      <c r="N56" s="14">
        <f>IF('Données projet'!$A$36&gt;35,N55+M56-V55,IF(A56&lt;'Données projet'!$A$36,$K$205^A56,IF(A56='Données projet'!$A$36,'Données projet'!$B$36,N55+M56-V55)))</f>
        <v>283.10000000000008</v>
      </c>
      <c r="O56" s="14">
        <f>N56*VLOOKUP('Données projet'!$B$9,Paramètres!$A$1:$I$89,3,0)*VLOOKUP('Données projet'!$B$9,Paramètres!$A$1:$I$89,5,0)</f>
        <v>169.29380000000009</v>
      </c>
      <c r="P56" s="14">
        <f t="shared" si="33"/>
        <v>42.931819978697277</v>
      </c>
      <c r="Q56" s="22">
        <f t="shared" si="53"/>
        <v>369.6262881295645</v>
      </c>
      <c r="R56" s="62">
        <f t="shared" si="0"/>
        <v>662.95962146289776</v>
      </c>
      <c r="S56" s="62">
        <f ca="1">AVERAGE(OFFSET($R$3,0,0,'Données projet'!$E$9+1,1))-AVERAGE(OFFSET($H$3,0,0,'Données projet'!$E$9+1,1))</f>
        <v>215.01135052017145</v>
      </c>
      <c r="T56" s="62">
        <f t="shared" si="34"/>
        <v>136.68033570181791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3.0198973792382615</v>
      </c>
      <c r="AA56" s="23">
        <f>EXP(-LN(2)/25)*AA55+(1-EXP(-LN(2)/25))/(LN(2)/25)*Calculateur!V56*Calculateur!X56*VLOOKUP('Données projet'!$B$9,Paramètres!$A$1:$I$89,3,0)*0.475*44/12</f>
        <v>1.2743064882211161</v>
      </c>
      <c r="AB56" s="23">
        <f>EXP(-LN(2)/2)*AB55+(1-EXP(-LN(2)/2))/(LN(2)/2)*V56*Y56*VLOOKUP('Données projet'!$B$9,Paramètres!$A$1:$I$89,3,0)*0.475*44/12</f>
        <v>8.8977106317396457E-4</v>
      </c>
      <c r="AC56" s="24">
        <f t="shared" si="3"/>
        <v>4.2950936385225518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582.19324283308538</v>
      </c>
      <c r="AN56" s="62">
        <f ca="1">AVERAGE(OFFSET($AM$3,0,0,'Données projet'!$E$10+1,1))-AVERAGE(OFFSET($H$3,0,0,'Données projet'!$E$10+1,1))</f>
        <v>165.12229410621887</v>
      </c>
      <c r="AO56" s="62">
        <f t="shared" si="36"/>
        <v>148.17171564653341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30.186000000000018</v>
      </c>
      <c r="D57" s="12">
        <f t="shared" si="32"/>
        <v>9.3563888882898691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305.23949317276401</v>
      </c>
      <c r="H57" s="70">
        <f t="shared" si="1"/>
        <v>362.20299398043818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15.7</v>
      </c>
      <c r="N57" s="14">
        <f>IF('Données projet'!$A$36&gt;35,N56+M57-V56,IF(A57&lt;'Données projet'!$A$36,$K$205^A57,IF(A57='Données projet'!$A$36,'Données projet'!$B$36,N56+M57-V56)))</f>
        <v>298.80000000000007</v>
      </c>
      <c r="O57" s="14">
        <f>N57*VLOOKUP('Données projet'!$B$9,Paramètres!$A$1:$I$89,3,0)*VLOOKUP('Données projet'!$B$9,Paramètres!$A$1:$I$89,5,0)</f>
        <v>178.68240000000006</v>
      </c>
      <c r="P57" s="14">
        <f t="shared" si="33"/>
        <v>45.028919214980071</v>
      </c>
      <c r="Q57" s="22">
        <f t="shared" si="53"/>
        <v>389.63054763275704</v>
      </c>
      <c r="R57" s="62">
        <f t="shared" si="0"/>
        <v>682.9638809660903</v>
      </c>
      <c r="S57" s="62">
        <f ca="1">AVERAGE(OFFSET($R$3,0,0,'Données projet'!$E$9+1,1))-AVERAGE(OFFSET($H$3,0,0,'Données projet'!$E$9+1,1))</f>
        <v>215.01135052017145</v>
      </c>
      <c r="T57" s="62">
        <f t="shared" si="34"/>
        <v>136.68033570181791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2.9606790335869224</v>
      </c>
      <c r="AA57" s="23">
        <f>EXP(-LN(2)/25)*AA56+(1-EXP(-LN(2)/25))/(LN(2)/25)*Calculateur!V57*Calculateur!X57*VLOOKUP('Données projet'!$B$9,Paramètres!$A$1:$I$89,3,0)*0.475*44/12</f>
        <v>1.239460510287844</v>
      </c>
      <c r="AB57" s="23">
        <f>EXP(-LN(2)/2)*AB56+(1-EXP(-LN(2)/2))/(LN(2)/2)*V57*Y57*VLOOKUP('Données projet'!$B$9,Paramètres!$A$1:$I$89,3,0)*0.475*44/12</f>
        <v>6.2916315247387431E-4</v>
      </c>
      <c r="AC57" s="24">
        <f t="shared" si="3"/>
        <v>4.2007687070272404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590.21631958381067</v>
      </c>
      <c r="AN57" s="62">
        <f ca="1">AVERAGE(OFFSET($AM$3,0,0,'Données projet'!$E$10+1,1))-AVERAGE(OFFSET($H$3,0,0,'Données projet'!$E$10+1,1))</f>
        <v>165.12229410621887</v>
      </c>
      <c r="AO57" s="62">
        <f t="shared" si="36"/>
        <v>148.17171564653341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30.745000000000019</v>
      </c>
      <c r="D58" s="12">
        <f t="shared" si="32"/>
        <v>9.5093232533499261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310.73512686796454</v>
      </c>
      <c r="H58" s="70">
        <f t="shared" si="1"/>
        <v>363.44294633291781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15.7</v>
      </c>
      <c r="N58" s="14">
        <f>IF('Données projet'!$A$36&gt;35,N57+M58-V57,IF(A58&lt;'Données projet'!$A$36,$K$205^A58,IF(A58='Données projet'!$A$36,'Données projet'!$B$36,N57+M58-V57)))</f>
        <v>314.50000000000006</v>
      </c>
      <c r="O58" s="14">
        <f>N58*VLOOKUP('Données projet'!$B$9,Paramètres!$A$1:$I$89,3,0)*VLOOKUP('Données projet'!$B$9,Paramètres!$A$1:$I$89,5,0)</f>
        <v>188.07100000000005</v>
      </c>
      <c r="P58" s="14">
        <f t="shared" si="33"/>
        <v>47.113225385753083</v>
      </c>
      <c r="Q58" s="22">
        <f t="shared" si="53"/>
        <v>409.61252588018669</v>
      </c>
      <c r="R58" s="62">
        <f t="shared" si="0"/>
        <v>702.94585921351995</v>
      </c>
      <c r="S58" s="62">
        <f ca="1">AVERAGE(OFFSET($R$3,0,0,'Données projet'!$E$9+1,1))-AVERAGE(OFFSET($H$3,0,0,'Données projet'!$E$9+1,1))</f>
        <v>215.01135052017145</v>
      </c>
      <c r="T58" s="62">
        <f t="shared" si="34"/>
        <v>136.68033570181791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2.9026219235741819</v>
      </c>
      <c r="AA58" s="23">
        <f>EXP(-LN(2)/25)*AA57+(1-EXP(-LN(2)/25))/(LN(2)/25)*Calculateur!V58*Calculateur!X58*VLOOKUP('Données projet'!$B$9,Paramètres!$A$1:$I$89,3,0)*0.475*44/12</f>
        <v>1.2055673974536274</v>
      </c>
      <c r="AB58" s="23">
        <f>EXP(-LN(2)/2)*AB57+(1-EXP(-LN(2)/2))/(LN(2)/2)*V58*Y58*VLOOKUP('Données projet'!$B$9,Paramètres!$A$1:$I$89,3,0)*0.475*44/12</f>
        <v>4.4488553158698229E-4</v>
      </c>
      <c r="AC58" s="24">
        <f t="shared" si="3"/>
        <v>4.1086342065593957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598.23456291835373</v>
      </c>
      <c r="AN58" s="62">
        <f ca="1">AVERAGE(OFFSET($AM$3,0,0,'Données projet'!$E$10+1,1))-AVERAGE(OFFSET($H$3,0,0,'Données projet'!$E$10+1,1))</f>
        <v>165.12229410621887</v>
      </c>
      <c r="AO58" s="62">
        <f t="shared" si="36"/>
        <v>148.17171564653341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31.30400000000002</v>
      </c>
      <c r="D59" s="12">
        <f t="shared" si="32"/>
        <v>9.6619342771023238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316.22826459517597</v>
      </c>
      <c r="H59" s="70">
        <f t="shared" si="1"/>
        <v>364.6823355326199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15.7</v>
      </c>
      <c r="N59" s="14">
        <f>IF('Données projet'!$A$36&gt;35,N58+M59-V58,IF(A59&lt;'Données projet'!$A$36,$K$205^A59,IF(A59='Données projet'!$A$36,'Données projet'!$B$36,N58+M59-V58)))</f>
        <v>330.20000000000005</v>
      </c>
      <c r="O59" s="14">
        <f>N59*VLOOKUP('Données projet'!$B$9,Paramètres!$A$1:$I$89,3,0)*VLOOKUP('Données projet'!$B$9,Paramètres!$A$1:$I$89,5,0)</f>
        <v>197.45960000000005</v>
      </c>
      <c r="P59" s="14">
        <f t="shared" si="33"/>
        <v>49.185450002435452</v>
      </c>
      <c r="Q59" s="22">
        <f t="shared" si="53"/>
        <v>429.57346208757514</v>
      </c>
      <c r="R59" s="62">
        <f t="shared" si="0"/>
        <v>722.90679542090845</v>
      </c>
      <c r="S59" s="62">
        <f ca="1">AVERAGE(OFFSET($R$3,0,0,'Données projet'!$E$9+1,1))-AVERAGE(OFFSET($H$3,0,0,'Données projet'!$E$9+1,1))</f>
        <v>215.01135052017145</v>
      </c>
      <c r="T59" s="62">
        <f t="shared" si="34"/>
        <v>136.68033570181791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2.8457032780774507</v>
      </c>
      <c r="AA59" s="23">
        <f>EXP(-LN(2)/25)*AA58+(1-EXP(-LN(2)/25))/(LN(2)/25)*Calculateur!V59*Calculateur!X59*VLOOKUP('Données projet'!$B$9,Paramètres!$A$1:$I$89,3,0)*0.475*44/12</f>
        <v>1.172601093572224</v>
      </c>
      <c r="AB59" s="23">
        <f>EXP(-LN(2)/2)*AB58+(1-EXP(-LN(2)/2))/(LN(2)/2)*V59*Y59*VLOOKUP('Données projet'!$B$9,Paramètres!$A$1:$I$89,3,0)*0.475*44/12</f>
        <v>3.1458157623693716E-4</v>
      </c>
      <c r="AC59" s="24">
        <f t="shared" si="3"/>
        <v>4.0186189532259124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606.24811799213433</v>
      </c>
      <c r="AN59" s="62">
        <f ca="1">AVERAGE(OFFSET($AM$3,0,0,'Données projet'!$E$10+1,1))-AVERAGE(OFFSET($H$3,0,0,'Données projet'!$E$10+1,1))</f>
        <v>165.12229410621887</v>
      </c>
      <c r="AO59" s="62">
        <f t="shared" si="36"/>
        <v>148.17171564653341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31.863000000000021</v>
      </c>
      <c r="D60" s="12">
        <f t="shared" si="32"/>
        <v>9.814228399582424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321.71895606695222</v>
      </c>
      <c r="H60" s="70">
        <f t="shared" si="1"/>
        <v>365.92117279593941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15.7</v>
      </c>
      <c r="N60" s="14">
        <f>IF('Données projet'!$A$36&gt;35,N59+M60-V59,IF(A60&lt;'Données projet'!$A$36,$K$205^A60,IF(A60='Données projet'!$A$36,'Données projet'!$B$36,N59+M60-V59)))</f>
        <v>345.90000000000003</v>
      </c>
      <c r="O60" s="14">
        <f>N60*VLOOKUP('Données projet'!$B$9,Paramètres!$A$1:$I$89,3,0)*VLOOKUP('Données projet'!$B$9,Paramètres!$A$1:$I$89,5,0)</f>
        <v>206.84820000000005</v>
      </c>
      <c r="P60" s="14">
        <f t="shared" si="33"/>
        <v>51.246233092829954</v>
      </c>
      <c r="Q60" s="22">
        <f t="shared" si="53"/>
        <v>449.51447097001227</v>
      </c>
      <c r="R60" s="62">
        <f t="shared" si="0"/>
        <v>742.84780430334558</v>
      </c>
      <c r="S60" s="62">
        <f ca="1">AVERAGE(OFFSET($R$3,0,0,'Données projet'!$E$9+1,1))-AVERAGE(OFFSET($H$3,0,0,'Données projet'!$E$9+1,1))</f>
        <v>215.01135052017145</v>
      </c>
      <c r="T60" s="62">
        <f t="shared" si="34"/>
        <v>136.68033570181791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2.7899007725019644</v>
      </c>
      <c r="AA60" s="23">
        <f>EXP(-LN(2)/25)*AA59+(1-EXP(-LN(2)/25))/(LN(2)/25)*Calculateur!V60*Calculateur!X60*VLOOKUP('Données projet'!$B$9,Paramètres!$A$1:$I$89,3,0)*0.475*44/12</f>
        <v>1.1405362550040801</v>
      </c>
      <c r="AB60" s="23">
        <f>EXP(-LN(2)/2)*AB59+(1-EXP(-LN(2)/2))/(LN(2)/2)*V60*Y60*VLOOKUP('Données projet'!$B$9,Paramètres!$A$1:$I$89,3,0)*0.475*44/12</f>
        <v>2.2244276579349114E-4</v>
      </c>
      <c r="AC60" s="24">
        <f t="shared" si="3"/>
        <v>3.9306594702718378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614.25712191218781</v>
      </c>
      <c r="AN60" s="62">
        <f ca="1">AVERAGE(OFFSET($AM$3,0,0,'Données projet'!$E$10+1,1))-AVERAGE(OFFSET($H$3,0,0,'Données projet'!$E$10+1,1))</f>
        <v>165.12229410621887</v>
      </c>
      <c r="AO60" s="62">
        <f t="shared" si="36"/>
        <v>148.17171564653341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32.422000000000018</v>
      </c>
      <c r="D61" s="12">
        <f t="shared" si="32"/>
        <v>9.9662118219155289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327.20724915162879</v>
      </c>
      <c r="H61" s="70">
        <f t="shared" si="1"/>
        <v>367.15946892316958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15.7</v>
      </c>
      <c r="N61" s="14">
        <f>IF('Données projet'!$A$36&gt;35,N60+M61-V60,IF(A61&lt;'Données projet'!$A$36,$K$205^A61,IF(A61='Données projet'!$A$36,'Données projet'!$B$36,N60+M61-V60)))</f>
        <v>361.6</v>
      </c>
      <c r="O61" s="14">
        <f>N61*VLOOKUP('Données projet'!$B$9,Paramètres!$A$1:$I$89,3,0)*VLOOKUP('Données projet'!$B$9,Paramètres!$A$1:$I$89,5,0)</f>
        <v>216.23680000000002</v>
      </c>
      <c r="P61" s="14">
        <f t="shared" si="33"/>
        <v>53.296153300267918</v>
      </c>
      <c r="Q61" s="22">
        <f t="shared" si="53"/>
        <v>469.43656033129997</v>
      </c>
      <c r="R61" s="62">
        <f t="shared" si="0"/>
        <v>762.76989366463329</v>
      </c>
      <c r="S61" s="62">
        <f ca="1">AVERAGE(OFFSET($R$3,0,0,'Données projet'!$E$9+1,1))-AVERAGE(OFFSET($H$3,0,0,'Données projet'!$E$9+1,1))</f>
        <v>215.01135052017145</v>
      </c>
      <c r="T61" s="62">
        <f t="shared" si="34"/>
        <v>136.68033570181791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2.7351925200246461</v>
      </c>
      <c r="AA61" s="23">
        <f>EXP(-LN(2)/25)*AA60+(1-EXP(-LN(2)/25))/(LN(2)/25)*Calculateur!V61*Calculateur!X61*VLOOKUP('Données projet'!$B$9,Paramètres!$A$1:$I$89,3,0)*0.475*44/12</f>
        <v>1.1093482311327987</v>
      </c>
      <c r="AB61" s="23">
        <f>EXP(-LN(2)/2)*AB60+(1-EXP(-LN(2)/2))/(LN(2)/2)*V61*Y61*VLOOKUP('Données projet'!$B$9,Paramètres!$A$1:$I$89,3,0)*0.475*44/12</f>
        <v>1.5729078811846858E-4</v>
      </c>
      <c r="AC61" s="24">
        <f t="shared" si="3"/>
        <v>3.8446980419455636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622.26170437756775</v>
      </c>
      <c r="AN61" s="62">
        <f ca="1">AVERAGE(OFFSET($AM$3,0,0,'Données projet'!$E$10+1,1))-AVERAGE(OFFSET($H$3,0,0,'Données projet'!$E$10+1,1))</f>
        <v>165.12229410621887</v>
      </c>
      <c r="AO61" s="62">
        <f t="shared" si="36"/>
        <v>148.17171564653341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32.981000000000016</v>
      </c>
      <c r="D62" s="12">
        <f t="shared" si="32"/>
        <v>10.117890519143426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332.69318997233535</v>
      </c>
      <c r="H62" s="70">
        <f t="shared" si="1"/>
        <v>368.39723432084145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15.7</v>
      </c>
      <c r="N62" s="14">
        <f>IF('Données projet'!$A$36&gt;35,N61+M62-V61,IF(A62&lt;'Données projet'!$A$36,$K$205^A62,IF(A62='Données projet'!$A$36,'Données projet'!$B$36,N61+M62-V61)))</f>
        <v>377.3</v>
      </c>
      <c r="O62" s="14">
        <f>N62*VLOOKUP('Données projet'!$B$9,Paramètres!$A$1:$I$89,3,0)*VLOOKUP('Données projet'!$B$9,Paramètres!$A$1:$I$89,5,0)</f>
        <v>225.62540000000004</v>
      </c>
      <c r="P62" s="14">
        <f t="shared" si="33"/>
        <v>55.335736179321074</v>
      </c>
      <c r="Q62" s="22">
        <f t="shared" si="53"/>
        <v>489.34064551231751</v>
      </c>
      <c r="R62" s="62">
        <f t="shared" si="0"/>
        <v>782.67397884565082</v>
      </c>
      <c r="S62" s="62">
        <f ca="1">AVERAGE(OFFSET($R$3,0,0,'Données projet'!$E$9+1,1))-AVERAGE(OFFSET($H$3,0,0,'Données projet'!$E$9+1,1))</f>
        <v>215.01135052017145</v>
      </c>
      <c r="T62" s="62">
        <f t="shared" si="34"/>
        <v>136.68033570181791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2.6815570630096688</v>
      </c>
      <c r="AA62" s="23">
        <f>EXP(-LN(2)/25)*AA61+(1-EXP(-LN(2)/25))/(LN(2)/25)*Calculateur!V62*Calculateur!X62*VLOOKUP('Données projet'!$B$9,Paramètres!$A$1:$I$89,3,0)*0.475*44/12</f>
        <v>1.0790130454143843</v>
      </c>
      <c r="AB62" s="23">
        <f>EXP(-LN(2)/2)*AB61+(1-EXP(-LN(2)/2))/(LN(2)/2)*V62*Y62*VLOOKUP('Données projet'!$B$9,Paramètres!$A$1:$I$89,3,0)*0.475*44/12</f>
        <v>1.1122138289674557E-4</v>
      </c>
      <c r="AC62" s="24">
        <f t="shared" si="3"/>
        <v>3.7606813298069501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630.26198825410984</v>
      </c>
      <c r="AN62" s="62">
        <f ca="1">AVERAGE(OFFSET($AM$3,0,0,'Données projet'!$E$10+1,1))-AVERAGE(OFFSET($H$3,0,0,'Données projet'!$E$10+1,1))</f>
        <v>165.12229410621887</v>
      </c>
      <c r="AO62" s="62">
        <f t="shared" si="36"/>
        <v>148.17171564653341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33.540000000000013</v>
      </c>
      <c r="D63" s="12">
        <f t="shared" si="32"/>
        <v>10.269270252156671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338.17682299910427</v>
      </c>
      <c r="H63" s="70">
        <f t="shared" si="1"/>
        <v>369.63447902250618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393</v>
      </c>
      <c r="L63" s="13">
        <f>VLOOKUP(A63,'Données projet'!$A$35:$I$55,9,0)</f>
        <v>15.7</v>
      </c>
      <c r="M63" s="13">
        <f t="array" ref="M63">INDEX(L:L,MIN(IF(ISNUMBER(L63:L259),ROW(L63:L259),"")))</f>
        <v>15.7</v>
      </c>
      <c r="N63" s="14">
        <f>IF('Données projet'!$A$36&gt;35,N62+M63-V62,IF(A63&lt;'Données projet'!$A$36,$K$205^A63,IF(A63='Données projet'!$A$36,'Données projet'!$B$36,N62+M63-V62)))</f>
        <v>393</v>
      </c>
      <c r="O63" s="14">
        <f>N63*VLOOKUP('Données projet'!$B$9,Paramètres!$A$1:$I$89,3,0)*VLOOKUP('Données projet'!$B$9,Paramètres!$A$1:$I$89,5,0)</f>
        <v>235.01400000000001</v>
      </c>
      <c r="P63" s="14">
        <f t="shared" si="33"/>
        <v>57.365461071820548</v>
      </c>
      <c r="Q63" s="22">
        <f t="shared" si="53"/>
        <v>509.22756136675412</v>
      </c>
      <c r="R63" s="62">
        <f t="shared" si="0"/>
        <v>802.56089470008737</v>
      </c>
      <c r="S63" s="62">
        <f ca="1">AVERAGE(OFFSET($R$3,0,0,'Données projet'!$E$9+1,1))-AVERAGE(OFFSET($H$3,0,0,'Données projet'!$E$9+1,1))</f>
        <v>215.01135052017145</v>
      </c>
      <c r="T63" s="62">
        <f t="shared" si="34"/>
        <v>136.68033570181791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88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2.6289733645923565</v>
      </c>
      <c r="AA63" s="23">
        <f>EXP(-LN(2)/25)*AA62+(1-EXP(-LN(2)/25))/(LN(2)/25)*Calculateur!V63*Calculateur!X63*VLOOKUP('Données projet'!$B$9,Paramètres!$A$1:$I$89,3,0)*0.475*44/12</f>
        <v>1.0495073769446979</v>
      </c>
      <c r="AB63" s="23">
        <f>EXP(-LN(2)/2)*AB62+(1-EXP(-LN(2)/2))/(LN(2)/2)*V63*Y63*VLOOKUP('Données projet'!$B$9,Paramètres!$A$1:$I$89,3,0)*0.475*44/12</f>
        <v>7.8645394059234289E-5</v>
      </c>
      <c r="AC63" s="24">
        <f t="shared" si="3"/>
        <v>3.6785593869311137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638.25809009171712</v>
      </c>
      <c r="AN63" s="62">
        <f ca="1">AVERAGE(OFFSET($AM$3,0,0,'Données projet'!$E$10+1,1))-AVERAGE(OFFSET($H$3,0,0,'Données projet'!$E$10+1,1))</f>
        <v>165.12229410621887</v>
      </c>
      <c r="AO63" s="62">
        <f t="shared" si="36"/>
        <v>148.17171564653341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34.099000000000011</v>
      </c>
      <c r="D64" s="12">
        <f t="shared" si="32"/>
        <v>10.420356578808908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343.65819113466529</v>
      </c>
      <c r="H64" s="70">
        <f t="shared" si="1"/>
        <v>370.87121270809217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14.3</v>
      </c>
      <c r="N64" s="14">
        <f>IF('Données projet'!$A$36&gt;35,N63+M64-V63,IF(A64&lt;'Données projet'!$A$36,$K$205^A64,IF(A64='Données projet'!$A$36,'Données projet'!$B$36,N63+M64-V63)))</f>
        <v>319.3</v>
      </c>
      <c r="O64" s="14">
        <f>N64*VLOOKUP('Données projet'!$B$9,Paramètres!$A$1:$I$89,3,0)*VLOOKUP('Données projet'!$B$9,Paramètres!$A$1:$I$89,5,0)</f>
        <v>190.94140000000002</v>
      </c>
      <c r="P64" s="14">
        <f t="shared" si="33"/>
        <v>47.748023117802013</v>
      </c>
      <c r="Q64" s="22">
        <f t="shared" si="53"/>
        <v>415.71741193017186</v>
      </c>
      <c r="R64" s="62">
        <f t="shared" si="0"/>
        <v>709.05074526350518</v>
      </c>
      <c r="S64" s="62">
        <f ca="1">AVERAGE(OFFSET($R$3,0,0,'Données projet'!$E$9+1,1))-AVERAGE(OFFSET($H$3,0,0,'Données projet'!$E$9+1,1))</f>
        <v>215.01135052017145</v>
      </c>
      <c r="T64" s="62">
        <f t="shared" si="34"/>
        <v>136.68033570181791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2.5774208004281189</v>
      </c>
      <c r="AA64" s="23">
        <f>EXP(-LN(2)/25)*AA63+(1-EXP(-LN(2)/25))/(LN(2)/25)*Calculateur!V64*Calculateur!X64*VLOOKUP('Données projet'!$B$9,Paramètres!$A$1:$I$89,3,0)*0.475*44/12</f>
        <v>1.0208085425309508</v>
      </c>
      <c r="AB64" s="23">
        <f>EXP(-LN(2)/2)*AB63+(1-EXP(-LN(2)/2))/(LN(2)/2)*V64*Y64*VLOOKUP('Données projet'!$B$9,Paramètres!$A$1:$I$89,3,0)*0.475*44/12</f>
        <v>5.5610691448372786E-5</v>
      </c>
      <c r="AC64" s="24">
        <f t="shared" si="3"/>
        <v>3.5982849536505181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578.68158788054393</v>
      </c>
      <c r="AN64" s="62">
        <f ca="1">AVERAGE(OFFSET($AM$3,0,0,'Données projet'!$E$10+1,1))-AVERAGE(OFFSET($H$3,0,0,'Données projet'!$E$10+1,1))</f>
        <v>165.12229410621887</v>
      </c>
      <c r="AO64" s="62">
        <f t="shared" si="36"/>
        <v>148.17171564653341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34.658000000000008</v>
      </c>
      <c r="D65" s="12">
        <f t="shared" si="32"/>
        <v>10.571154864281649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349.13733579445488</v>
      </c>
      <c r="H65" s="70">
        <f t="shared" si="1"/>
        <v>372.10744472195717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14.3</v>
      </c>
      <c r="N65" s="14">
        <f>IF('Données projet'!$A$36&gt;35,N64+M65-V64,IF(A65&lt;'Données projet'!$A$36,$K$205^A65,IF(A65='Données projet'!$A$36,'Données projet'!$B$36,N64+M65-V64)))</f>
        <v>333.6</v>
      </c>
      <c r="O65" s="14">
        <f>N65*VLOOKUP('Données projet'!$B$9,Paramètres!$A$1:$I$89,3,0)*VLOOKUP('Données projet'!$B$9,Paramètres!$A$1:$I$89,5,0)</f>
        <v>199.49280000000002</v>
      </c>
      <c r="P65" s="14">
        <f t="shared" si="33"/>
        <v>49.632684049228061</v>
      </c>
      <c r="Q65" s="22">
        <f t="shared" si="53"/>
        <v>433.89355138573887</v>
      </c>
      <c r="R65" s="62">
        <f t="shared" si="0"/>
        <v>727.22688471907213</v>
      </c>
      <c r="S65" s="62">
        <f ca="1">AVERAGE(OFFSET($R$3,0,0,'Données projet'!$E$9+1,1))-AVERAGE(OFFSET($H$3,0,0,'Données projet'!$E$9+1,1))</f>
        <v>215.01135052017145</v>
      </c>
      <c r="T65" s="62">
        <f t="shared" si="34"/>
        <v>136.68033570181791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2.5268791506031825</v>
      </c>
      <c r="AA65" s="23">
        <f>EXP(-LN(2)/25)*AA64+(1-EXP(-LN(2)/25))/(LN(2)/25)*Calculateur!V65*Calculateur!X65*VLOOKUP('Données projet'!$B$9,Paramètres!$A$1:$I$89,3,0)*0.475*44/12</f>
        <v>0.99289447925345375</v>
      </c>
      <c r="AB65" s="23">
        <f>EXP(-LN(2)/2)*AB64+(1-EXP(-LN(2)/2))/(LN(2)/2)*V65*Y65*VLOOKUP('Données projet'!$B$9,Paramètres!$A$1:$I$89,3,0)*0.475*44/12</f>
        <v>3.9322697029617145E-5</v>
      </c>
      <c r="AC65" s="24">
        <f t="shared" si="3"/>
        <v>3.5198129525536657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586.20539479108106</v>
      </c>
      <c r="AN65" s="62">
        <f ca="1">AVERAGE(OFFSET($AM$3,0,0,'Données projet'!$E$10+1,1))-AVERAGE(OFFSET($H$3,0,0,'Données projet'!$E$10+1,1))</f>
        <v>165.12229410621887</v>
      </c>
      <c r="AO65" s="62">
        <f t="shared" si="36"/>
        <v>148.17171564653341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66" s="12">
        <f t="shared" si="32"/>
        <v>10.721670290761447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354.6142969813165</v>
      </c>
      <c r="H66" s="70">
        <f t="shared" si="1"/>
        <v>373.34318408974286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14.3</v>
      </c>
      <c r="N66" s="14">
        <f>IF('Données projet'!$A$36&gt;35,N65+M66-V65,IF(A66&lt;'Données projet'!$A$36,$K$205^A66,IF(A66='Données projet'!$A$36,'Données projet'!$B$36,N65+M66-V65)))</f>
        <v>347.90000000000003</v>
      </c>
      <c r="O66" s="14">
        <f>N66*VLOOKUP('Données projet'!$B$9,Paramètres!$A$1:$I$89,3,0)*VLOOKUP('Données projet'!$B$9,Paramètres!$A$1:$I$89,5,0)</f>
        <v>208.04420000000005</v>
      </c>
      <c r="P66" s="14">
        <f t="shared" si="33"/>
        <v>51.507961722634242</v>
      </c>
      <c r="Q66" s="22">
        <f t="shared" si="53"/>
        <v>452.05334833358802</v>
      </c>
      <c r="R66" s="62">
        <f t="shared" si="0"/>
        <v>745.38668166692128</v>
      </c>
      <c r="S66" s="62">
        <f ca="1">AVERAGE(OFFSET($R$3,0,0,'Données projet'!$E$9+1,1))-AVERAGE(OFFSET($H$3,0,0,'Données projet'!$E$9+1,1))</f>
        <v>215.01135052017145</v>
      </c>
      <c r="T66" s="62">
        <f t="shared" si="34"/>
        <v>136.68033570181791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2.4773285917039507</v>
      </c>
      <c r="AA66" s="23">
        <f>EXP(-LN(2)/25)*AA65+(1-EXP(-LN(2)/25))/(LN(2)/25)*Calculateur!V66*Calculateur!X66*VLOOKUP('Données projet'!$B$9,Paramètres!$A$1:$I$89,3,0)*0.475*44/12</f>
        <v>0.96574372750421666</v>
      </c>
      <c r="AB66" s="23">
        <f>EXP(-LN(2)/2)*AB65+(1-EXP(-LN(2)/2))/(LN(2)/2)*V66*Y66*VLOOKUP('Données projet'!$B$9,Paramètres!$A$1:$I$89,3,0)*0.475*44/12</f>
        <v>2.7805345724186393E-5</v>
      </c>
      <c r="AC66" s="24">
        <f t="shared" si="3"/>
        <v>3.4431001245538915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593.72488702764758</v>
      </c>
      <c r="AN66" s="62">
        <f ca="1">AVERAGE(OFFSET($AM$3,0,0,'Données projet'!$E$10+1,1))-AVERAGE(OFFSET($H$3,0,0,'Données projet'!$E$10+1,1))</f>
        <v>165.12229410621887</v>
      </c>
      <c r="AO66" s="62">
        <f t="shared" si="36"/>
        <v>148.17171564653341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35.776000000000003</v>
      </c>
      <c r="D67" s="12">
        <f t="shared" si="32"/>
        <v>10.871907866485202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360.0891133553244</v>
      </c>
      <c r="H67" s="70">
        <f t="shared" si="1"/>
        <v>374.57843953412839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14.3</v>
      </c>
      <c r="N67" s="14">
        <f>IF('Données projet'!$A$36&gt;35,N66+M67-V66,IF(A67&lt;'Données projet'!$A$36,$K$205^A67,IF(A67='Données projet'!$A$36,'Données projet'!$B$36,N66+M67-V66)))</f>
        <v>362.20000000000005</v>
      </c>
      <c r="O67" s="14">
        <f>N67*VLOOKUP('Données projet'!$B$9,Paramètres!$A$1:$I$89,3,0)*VLOOKUP('Données projet'!$B$9,Paramètres!$A$1:$I$89,5,0)</f>
        <v>216.59560000000005</v>
      </c>
      <c r="P67" s="14">
        <f t="shared" si="33"/>
        <v>53.374285937607603</v>
      </c>
      <c r="Q67" s="22">
        <f t="shared" ref="Q67:Q98" si="54">(O67+P67)*0.475*44/12</f>
        <v>470.19755134133334</v>
      </c>
      <c r="R67" s="62">
        <f t="shared" ref="R67:R130" si="55">Q67+(I67+J67)*44/12</f>
        <v>763.53088467466659</v>
      </c>
      <c r="S67" s="62">
        <f ca="1">AVERAGE(OFFSET($R$3,0,0,'Données projet'!$E$9+1,1))-AVERAGE(OFFSET($H$3,0,0,'Données projet'!$E$9+1,1))</f>
        <v>215.01135052017145</v>
      </c>
      <c r="T67" s="62">
        <f t="shared" si="34"/>
        <v>136.68033570181791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2.4287496890418763</v>
      </c>
      <c r="AA67" s="23">
        <f>EXP(-LN(2)/25)*AA66+(1-EXP(-LN(2)/25))/(LN(2)/25)*Calculateur!V67*Calculateur!X67*VLOOKUP('Données projet'!$B$9,Paramètres!$A$1:$I$89,3,0)*0.475*44/12</f>
        <v>0.93933541448935842</v>
      </c>
      <c r="AB67" s="23">
        <f>EXP(-LN(2)/2)*AB66+(1-EXP(-LN(2)/2))/(LN(2)/2)*V67*Y67*VLOOKUP('Données projet'!$B$9,Paramètres!$A$1:$I$89,3,0)*0.475*44/12</f>
        <v>1.9661348514808572E-5</v>
      </c>
      <c r="AC67" s="24">
        <f t="shared" si="3"/>
        <v>3.3681047648797495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601.24018794377196</v>
      </c>
      <c r="AN67" s="62">
        <f ca="1">AVERAGE(OFFSET($AM$3,0,0,'Données projet'!$E$10+1,1))-AVERAGE(OFFSET($H$3,0,0,'Données projet'!$E$10+1,1))</f>
        <v>165.12229410621887</v>
      </c>
      <c r="AO67" s="62">
        <f t="shared" si="36"/>
        <v>148.17171564653341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36.335000000000001</v>
      </c>
      <c r="D68" s="12">
        <f t="shared" si="32"/>
        <v>11.02187243420407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365.56182229911923</v>
      </c>
      <c r="H68" s="70">
        <f t="shared" ref="H68:H131" si="56">(B68+E68+F68)*44/12+(C68+D68)*0.475*44/12</f>
        <v>375.81321948957208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14.3</v>
      </c>
      <c r="N68" s="14">
        <f>IF('Données projet'!$A$36&gt;35,N67+M68-V67,IF(A68&lt;'Données projet'!$A$36,$K$205^A68,IF(A68='Données projet'!$A$36,'Données projet'!$B$36,N67+M68-V67)))</f>
        <v>376.50000000000006</v>
      </c>
      <c r="O68" s="14">
        <f>N68*VLOOKUP('Données projet'!$B$9,Paramètres!$A$1:$I$89,3,0)*VLOOKUP('Données projet'!$B$9,Paramètres!$A$1:$I$89,5,0)</f>
        <v>225.14700000000005</v>
      </c>
      <c r="P68" s="14">
        <f t="shared" si="33"/>
        <v>55.232050634645063</v>
      </c>
      <c r="Q68" s="22">
        <f t="shared" si="54"/>
        <v>488.32684652200686</v>
      </c>
      <c r="R68" s="62">
        <f t="shared" si="55"/>
        <v>781.66017985534017</v>
      </c>
      <c r="S68" s="62">
        <f ca="1">AVERAGE(OFFSET($R$3,0,0,'Données projet'!$E$9+1,1))-AVERAGE(OFFSET($H$3,0,0,'Données projet'!$E$9+1,1))</f>
        <v>215.01135052017145</v>
      </c>
      <c r="T68" s="62">
        <f t="shared" si="34"/>
        <v>136.68033570181791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2.3811233890308001</v>
      </c>
      <c r="AA68" s="23">
        <f>EXP(-LN(2)/25)*AA67+(1-EXP(-LN(2)/25))/(LN(2)/25)*Calculateur!V68*Calculateur!X68*VLOOKUP('Données projet'!$B$9,Paramètres!$A$1:$I$89,3,0)*0.475*44/12</f>
        <v>0.91364923818264432</v>
      </c>
      <c r="AB68" s="23">
        <f>EXP(-LN(2)/2)*AB67+(1-EXP(-LN(2)/2))/(LN(2)/2)*V68*Y68*VLOOKUP('Données projet'!$B$9,Paramètres!$A$1:$I$89,3,0)*0.475*44/12</f>
        <v>1.3902672862093196E-5</v>
      </c>
      <c r="AC68" s="24">
        <f t="shared" ref="AC68:AC131" si="57">SUM(Z68:AB68)</f>
        <v>3.2947865298863066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608.75141437378807</v>
      </c>
      <c r="AN68" s="62">
        <f ca="1">AVERAGE(OFFSET($AM$3,0,0,'Données projet'!$E$10+1,1))-AVERAGE(OFFSET($H$3,0,0,'Données projet'!$E$10+1,1))</f>
        <v>165.12229410621887</v>
      </c>
      <c r="AO68" s="62">
        <f t="shared" si="36"/>
        <v>148.17171564653341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36.893999999999998</v>
      </c>
      <c r="D69" s="12">
        <f t="shared" ref="D69:D132" si="86">IFERROR(EXP(-1.0587+0.8836*LN(C69)+0.284),0)</f>
        <v>11.17156867911179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371.03245997910858</v>
      </c>
      <c r="H69" s="70">
        <f t="shared" si="56"/>
        <v>377.04753211611967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14.3</v>
      </c>
      <c r="N69" s="14">
        <f>IF('Données projet'!$A$36&gt;35,N68+M69-V68,IF(A69&lt;'Données projet'!$A$36,$K$205^A69,IF(A69='Données projet'!$A$36,'Données projet'!$B$36,N68+M69-V68)))</f>
        <v>390.80000000000007</v>
      </c>
      <c r="O69" s="14">
        <f>N69*VLOOKUP('Données projet'!$B$9,Paramètres!$A$1:$I$89,3,0)*VLOOKUP('Données projet'!$B$9,Paramètres!$A$1:$I$89,5,0)</f>
        <v>233.69840000000005</v>
      </c>
      <c r="P69" s="14">
        <f t="shared" ref="P69:P132" si="87">EXP(-1.0587+0.8836*LN(O69)+0.284)</f>
        <v>57.081618134454175</v>
      </c>
      <c r="Q69" s="22">
        <f t="shared" si="54"/>
        <v>506.44186491750776</v>
      </c>
      <c r="R69" s="62">
        <f t="shared" si="55"/>
        <v>799.77519825084107</v>
      </c>
      <c r="S69" s="62">
        <f ca="1">AVERAGE(OFFSET($R$3,0,0,'Données projet'!$E$9+1,1))-AVERAGE(OFFSET($H$3,0,0,'Données projet'!$E$9+1,1))</f>
        <v>215.01135052017145</v>
      </c>
      <c r="T69" s="62">
        <f t="shared" ref="T69:T132" si="88">$T$3</f>
        <v>136.68033570181791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2.3344310117137668</v>
      </c>
      <c r="AA69" s="23">
        <f>EXP(-LN(2)/25)*AA68+(1-EXP(-LN(2)/25))/(LN(2)/25)*Calculateur!V69*Calculateur!X69*VLOOKUP('Données projet'!$B$9,Paramètres!$A$1:$I$89,3,0)*0.475*44/12</f>
        <v>0.88866545171781464</v>
      </c>
      <c r="AB69" s="23">
        <f>EXP(-LN(2)/2)*AB68+(1-EXP(-LN(2)/2))/(LN(2)/2)*V69*Y69*VLOOKUP('Données projet'!$B$9,Paramètres!$A$1:$I$89,3,0)*0.475*44/12</f>
        <v>9.8306742574042861E-6</v>
      </c>
      <c r="AC69" s="24">
        <f t="shared" si="57"/>
        <v>3.2231062941058388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616.25867712785157</v>
      </c>
      <c r="AN69" s="62">
        <f ca="1">AVERAGE(OFFSET($AM$3,0,0,'Données projet'!$E$10+1,1))-AVERAGE(OFFSET($H$3,0,0,'Données projet'!$E$10+1,1))</f>
        <v>165.12229410621887</v>
      </c>
      <c r="AO69" s="62">
        <f t="shared" ref="AO69:AO132" si="90">$AO$3</f>
        <v>148.17171564653341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37.452999999999996</v>
      </c>
      <c r="D70" s="12">
        <f t="shared" si="86"/>
        <v>11.321001136278802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376.50106140285385</v>
      </c>
      <c r="H70" s="70">
        <f t="shared" si="56"/>
        <v>378.2813853123522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14.3</v>
      </c>
      <c r="N70" s="14">
        <f>IF('Données projet'!$A$36&gt;35,N69+M70-V69,IF(A70&lt;'Données projet'!$A$36,$K$205^A70,IF(A70='Données projet'!$A$36,'Données projet'!$B$36,N69+M70-V69)))</f>
        <v>405.10000000000008</v>
      </c>
      <c r="O70" s="14">
        <f>N70*VLOOKUP('Données projet'!$B$9,Paramètres!$A$1:$I$89,3,0)*VLOOKUP('Données projet'!$B$9,Paramètres!$A$1:$I$89,5,0)</f>
        <v>242.24980000000005</v>
      </c>
      <c r="P70" s="14">
        <f t="shared" si="87"/>
        <v>58.923322739321947</v>
      </c>
      <c r="Q70" s="22">
        <f t="shared" si="54"/>
        <v>524.54318877098581</v>
      </c>
      <c r="R70" s="62">
        <f t="shared" si="55"/>
        <v>817.87652210431906</v>
      </c>
      <c r="S70" s="62">
        <f ca="1">AVERAGE(OFFSET($R$3,0,0,'Données projet'!$E$9+1,1))-AVERAGE(OFFSET($H$3,0,0,'Données projet'!$E$9+1,1))</f>
        <v>215.01135052017145</v>
      </c>
      <c r="T70" s="62">
        <f t="shared" si="88"/>
        <v>136.68033570181791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2.2886542434363824</v>
      </c>
      <c r="AA70" s="23">
        <f>EXP(-LN(2)/25)*AA69+(1-EXP(-LN(2)/25))/(LN(2)/25)*Calculateur!V70*Calculateur!X70*VLOOKUP('Données projet'!$B$9,Paramètres!$A$1:$I$89,3,0)*0.475*44/12</f>
        <v>0.86436484820770598</v>
      </c>
      <c r="AB70" s="23">
        <f>EXP(-LN(2)/2)*AB69+(1-EXP(-LN(2)/2))/(LN(2)/2)*V70*Y70*VLOOKUP('Données projet'!$B$9,Paramètres!$A$1:$I$89,3,0)*0.475*44/12</f>
        <v>6.9513364310465982E-6</v>
      </c>
      <c r="AC70" s="24">
        <f t="shared" si="57"/>
        <v>3.1530260429805193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623.76208143848521</v>
      </c>
      <c r="AN70" s="62">
        <f ca="1">AVERAGE(OFFSET($AM$3,0,0,'Données projet'!$E$10+1,1))-AVERAGE(OFFSET($H$3,0,0,'Données projet'!$E$10+1,1))</f>
        <v>165.12229410621887</v>
      </c>
      <c r="AO70" s="62">
        <f t="shared" si="90"/>
        <v>148.17171564653341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38.011999999999993</v>
      </c>
      <c r="D71" s="12">
        <f t="shared" si="86"/>
        <v>11.470174197629985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381.96766047293323</v>
      </c>
      <c r="H71" s="70">
        <f t="shared" si="56"/>
        <v>379.51478672753888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14.3</v>
      </c>
      <c r="N71" s="14">
        <f>IF('Données projet'!$A$36&gt;35,N70+M71-V70,IF(A71&lt;'Données projet'!$A$36,$K$205^A71,IF(A71='Données projet'!$A$36,'Données projet'!$B$36,N70+M71-V70)))</f>
        <v>419.40000000000009</v>
      </c>
      <c r="O71" s="14">
        <f>N71*VLOOKUP('Données projet'!$B$9,Paramètres!$A$1:$I$89,3,0)*VLOOKUP('Données projet'!$B$9,Paramètres!$A$1:$I$89,5,0)</f>
        <v>250.80120000000008</v>
      </c>
      <c r="P71" s="14">
        <f t="shared" si="87"/>
        <v>60.757473811682686</v>
      </c>
      <c r="Q71" s="22">
        <f t="shared" si="54"/>
        <v>542.63135688868078</v>
      </c>
      <c r="R71" s="62">
        <f t="shared" si="55"/>
        <v>835.96469022201404</v>
      </c>
      <c r="S71" s="62">
        <f ca="1">AVERAGE(OFFSET($R$3,0,0,'Données projet'!$E$9+1,1))-AVERAGE(OFFSET($H$3,0,0,'Données projet'!$E$9+1,1))</f>
        <v>215.01135052017145</v>
      </c>
      <c r="T71" s="62">
        <f t="shared" si="88"/>
        <v>136.68033570181791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2.2437751296638457</v>
      </c>
      <c r="AA71" s="23">
        <f>EXP(-LN(2)/25)*AA70+(1-EXP(-LN(2)/25))/(LN(2)/25)*Calculateur!V71*Calculateur!X71*VLOOKUP('Données projet'!$B$9,Paramètres!$A$1:$I$89,3,0)*0.475*44/12</f>
        <v>0.84072874597849445</v>
      </c>
      <c r="AB71" s="23">
        <f>EXP(-LN(2)/2)*AB70+(1-EXP(-LN(2)/2))/(LN(2)/2)*V71*Y71*VLOOKUP('Données projet'!$B$9,Paramètres!$A$1:$I$89,3,0)*0.475*44/12</f>
        <v>4.9153371287021431E-6</v>
      </c>
      <c r="AC71" s="24">
        <f t="shared" si="57"/>
        <v>3.0845087909794691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631.26172736441413</v>
      </c>
      <c r="AN71" s="62">
        <f ca="1">AVERAGE(OFFSET($AM$3,0,0,'Données projet'!$E$10+1,1))-AVERAGE(OFFSET($H$3,0,0,'Données projet'!$E$10+1,1))</f>
        <v>165.12229410621887</v>
      </c>
      <c r="AO71" s="62">
        <f t="shared" si="90"/>
        <v>148.17171564653341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38.570999999999991</v>
      </c>
      <c r="D72" s="12">
        <f t="shared" si="86"/>
        <v>11.619092118500239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387.43229003754567</v>
      </c>
      <c r="H72" s="70">
        <f t="shared" si="56"/>
        <v>380.74774377305454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14.3</v>
      </c>
      <c r="N72" s="14">
        <f>IF('Données projet'!$A$36&gt;35,N71+M72-V71,IF(A72&lt;'Données projet'!$A$36,$K$205^A72,IF(A72='Données projet'!$A$36,'Données projet'!$B$36,N71+M72-V71)))</f>
        <v>433.7000000000001</v>
      </c>
      <c r="O72" s="14">
        <f>N72*VLOOKUP('Données projet'!$B$9,Paramètres!$A$1:$I$89,3,0)*VLOOKUP('Données projet'!$B$9,Paramètres!$A$1:$I$89,5,0)</f>
        <v>259.35260000000011</v>
      </c>
      <c r="P72" s="14">
        <f t="shared" si="87"/>
        <v>62.58435842101963</v>
      </c>
      <c r="Q72" s="22">
        <f t="shared" si="54"/>
        <v>560.70686924994277</v>
      </c>
      <c r="R72" s="62">
        <f t="shared" si="55"/>
        <v>854.04020258327614</v>
      </c>
      <c r="S72" s="62">
        <f ca="1">AVERAGE(OFFSET($R$3,0,0,'Données projet'!$E$9+1,1))-AVERAGE(OFFSET($H$3,0,0,'Données projet'!$E$9+1,1))</f>
        <v>215.01135052017145</v>
      </c>
      <c r="T72" s="62">
        <f t="shared" si="88"/>
        <v>136.68033570181791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2.1997760679388318</v>
      </c>
      <c r="AA72" s="23">
        <f>EXP(-LN(2)/25)*AA71+(1-EXP(-LN(2)/25))/(LN(2)/25)*Calculateur!V72*Calculateur!X72*VLOOKUP('Données projet'!$B$9,Paramètres!$A$1:$I$89,3,0)*0.475*44/12</f>
        <v>0.81773897420770925</v>
      </c>
      <c r="AB72" s="23">
        <f>EXP(-LN(2)/2)*AB71+(1-EXP(-LN(2)/2))/(LN(2)/2)*V72*Y72*VLOOKUP('Données projet'!$B$9,Paramètres!$A$1:$I$89,3,0)*0.475*44/12</f>
        <v>3.4756682155232991E-6</v>
      </c>
      <c r="AC72" s="24">
        <f t="shared" si="57"/>
        <v>3.0175185178147563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638.75771015665464</v>
      </c>
      <c r="AN72" s="62">
        <f ca="1">AVERAGE(OFFSET($AM$3,0,0,'Données projet'!$E$10+1,1))-AVERAGE(OFFSET($H$3,0,0,'Données projet'!$E$10+1,1))</f>
        <v>165.12229410621887</v>
      </c>
      <c r="AO72" s="62">
        <f t="shared" si="90"/>
        <v>148.17171564653341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39.129999999999988</v>
      </c>
      <c r="D73" s="12">
        <f t="shared" si="86"/>
        <v>11.767759023799293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392.89498193809976</v>
      </c>
      <c r="H73" s="70">
        <f t="shared" si="56"/>
        <v>381.98026363311709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448</v>
      </c>
      <c r="L73" s="13">
        <f>VLOOKUP(A73,'Données projet'!$A$35:$I$55,9,0)</f>
        <v>14.3</v>
      </c>
      <c r="M73" s="13">
        <f t="array" ref="M73">INDEX(L:L,MIN(IF(ISNUMBER(L73:L269),ROW(L73:L269),"")))</f>
        <v>14.3</v>
      </c>
      <c r="N73" s="14">
        <f>IF('Données projet'!$A$36&gt;35,N72+M73-V72,IF(A73&lt;'Données projet'!$A$36,$K$205^A73,IF(A73='Données projet'!$A$36,'Données projet'!$B$36,N72+M73-V72)))</f>
        <v>448.00000000000011</v>
      </c>
      <c r="O73" s="14">
        <f>N73*VLOOKUP('Données projet'!$B$9,Paramètres!$A$1:$I$89,3,0)*VLOOKUP('Données projet'!$B$9,Paramètres!$A$1:$I$89,5,0)</f>
        <v>267.90400000000011</v>
      </c>
      <c r="P73" s="14">
        <f t="shared" si="87"/>
        <v>64.404243631863267</v>
      </c>
      <c r="Q73" s="22">
        <f t="shared" si="54"/>
        <v>578.77019099216204</v>
      </c>
      <c r="R73" s="62">
        <f t="shared" si="55"/>
        <v>872.1035243254953</v>
      </c>
      <c r="S73" s="62">
        <f ca="1">AVERAGE(OFFSET($R$3,0,0,'Données projet'!$E$9+1,1))-AVERAGE(OFFSET($H$3,0,0,'Données projet'!$E$9+1,1))</f>
        <v>215.01135052017145</v>
      </c>
      <c r="T73" s="62">
        <f t="shared" si="88"/>
        <v>136.68033570181791</v>
      </c>
      <c r="U73" s="16">
        <f>IF(ISNA(VLOOKUP(A73,'Données projet'!$A$35:$I$55,3,0)),0,VLOOKUP(A73,'Données projet'!$A$35:$I$55,3,0))</f>
        <v>7</v>
      </c>
      <c r="V73" s="16">
        <f>IF(ISNA(VLOOKUP(A73,'Données projet'!$A$35:$I$55,4,0)),0,VLOOKUP(A73,'Données projet'!$A$35:$I$55,4,0))</f>
        <v>78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2.1566398009774677</v>
      </c>
      <c r="AA73" s="23">
        <f>EXP(-LN(2)/25)*AA72+(1-EXP(-LN(2)/25))/(LN(2)/25)*Calculateur!V73*Calculateur!X73*VLOOKUP('Données projet'!$B$9,Paramètres!$A$1:$I$89,3,0)*0.475*44/12</f>
        <v>0.7953778589549757</v>
      </c>
      <c r="AB73" s="23">
        <f>EXP(-LN(2)/2)*AB72+(1-EXP(-LN(2)/2))/(LN(2)/2)*V73*Y73*VLOOKUP('Données projet'!$B$9,Paramètres!$A$1:$I$89,3,0)*0.475*44/12</f>
        <v>2.4576685643510715E-6</v>
      </c>
      <c r="AC73" s="24">
        <f t="shared" si="57"/>
        <v>2.9520201176010077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646.25012059114351</v>
      </c>
      <c r="AN73" s="62">
        <f ca="1">AVERAGE(OFFSET($AM$3,0,0,'Données projet'!$E$10+1,1))-AVERAGE(OFFSET($H$3,0,0,'Données projet'!$E$10+1,1))</f>
        <v>165.12229410621887</v>
      </c>
      <c r="AO73" s="62">
        <f t="shared" si="90"/>
        <v>148.17171564653341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39.688999999999986</v>
      </c>
      <c r="D74" s="12">
        <f t="shared" si="86"/>
        <v>11.916178913814131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398.35576705400371</v>
      </c>
      <c r="H74" s="70">
        <f t="shared" si="56"/>
        <v>383.21235327489291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</v>
      </c>
      <c r="N74" s="14">
        <f>IF('Données projet'!$A$36&gt;35,N73+M74-V73,IF(A74&lt;'Données projet'!$A$36,$K$205^A74,IF(A74='Données projet'!$A$36,'Données projet'!$B$36,N73+M74-V73)))</f>
        <v>379.00000000000011</v>
      </c>
      <c r="O74" s="14">
        <f>N74*VLOOKUP('Données projet'!$B$9,Paramètres!$A$1:$I$89,3,0)*VLOOKUP('Données projet'!$B$9,Paramètres!$A$1:$I$89,5,0)</f>
        <v>226.64200000000008</v>
      </c>
      <c r="P74" s="14">
        <f t="shared" si="87"/>
        <v>55.555983079812862</v>
      </c>
      <c r="Q74" s="22">
        <f t="shared" si="54"/>
        <v>491.49482053067413</v>
      </c>
      <c r="R74" s="62">
        <f t="shared" si="55"/>
        <v>784.82815386400739</v>
      </c>
      <c r="S74" s="62">
        <f ca="1">AVERAGE(OFFSET($R$3,0,0,'Données projet'!$E$9+1,1))-AVERAGE(OFFSET($H$3,0,0,'Données projet'!$E$9+1,1))</f>
        <v>215.01135052017145</v>
      </c>
      <c r="T74" s="62">
        <f t="shared" si="88"/>
        <v>136.68033570181791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2.114349409900691</v>
      </c>
      <c r="AA74" s="23">
        <f>EXP(-LN(2)/25)*AA73+(1-EXP(-LN(2)/25))/(LN(2)/25)*Calculateur!V74*Calculateur!X74*VLOOKUP('Données projet'!$B$9,Paramètres!$A$1:$I$89,3,0)*0.475*44/12</f>
        <v>0.7736282095747482</v>
      </c>
      <c r="AB74" s="23">
        <f>EXP(-LN(2)/2)*AB73+(1-EXP(-LN(2)/2))/(LN(2)/2)*V74*Y74*VLOOKUP('Données projet'!$B$9,Paramètres!$A$1:$I$89,3,0)*0.475*44/12</f>
        <v>1.7378341077616496E-6</v>
      </c>
      <c r="AC74" s="24">
        <f t="shared" si="57"/>
        <v>2.8879793573095469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584.90158094321657</v>
      </c>
      <c r="AN74" s="62">
        <f ca="1">AVERAGE(OFFSET($AM$3,0,0,'Données projet'!$E$10+1,1))-AVERAGE(OFFSET($H$3,0,0,'Données projet'!$E$10+1,1))</f>
        <v>165.12229410621887</v>
      </c>
      <c r="AO74" s="62">
        <f t="shared" si="90"/>
        <v>148.17171564653341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40.247999999999983</v>
      </c>
      <c r="D75" s="12">
        <f t="shared" si="86"/>
        <v>12.064355669675358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403.81467534486228</v>
      </c>
      <c r="H75" s="70">
        <f t="shared" si="56"/>
        <v>384.44401945801786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</v>
      </c>
      <c r="N75" s="14">
        <f>IF('Données projet'!$A$36&gt;35,N74+M75-V74,IF(A75&lt;'Données projet'!$A$36,$K$205^A75,IF(A75='Données projet'!$A$36,'Données projet'!$B$36,N74+M75-V74)))</f>
        <v>388.00000000000011</v>
      </c>
      <c r="O75" s="14">
        <f>N75*VLOOKUP('Données projet'!$B$9,Paramètres!$A$1:$I$89,3,0)*VLOOKUP('Données projet'!$B$9,Paramètres!$A$1:$I$89,5,0)</f>
        <v>232.02400000000006</v>
      </c>
      <c r="P75" s="14">
        <f t="shared" si="87"/>
        <v>56.720094243161071</v>
      </c>
      <c r="Q75" s="22">
        <f t="shared" si="54"/>
        <v>502.89596414017234</v>
      </c>
      <c r="R75" s="62">
        <f t="shared" si="55"/>
        <v>796.22929747350565</v>
      </c>
      <c r="S75" s="62">
        <f ca="1">AVERAGE(OFFSET($R$3,0,0,'Données projet'!$E$9+1,1))-AVERAGE(OFFSET($H$3,0,0,'Données projet'!$E$9+1,1))</f>
        <v>215.01135052017145</v>
      </c>
      <c r="T75" s="62">
        <f t="shared" si="88"/>
        <v>136.68033570181791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2.0728883075983386</v>
      </c>
      <c r="AA75" s="23">
        <f>EXP(-LN(2)/25)*AA74+(1-EXP(-LN(2)/25))/(LN(2)/25)*Calculateur!V75*Calculateur!X75*VLOOKUP('Données projet'!$B$9,Paramètres!$A$1:$I$89,3,0)*0.475*44/12</f>
        <v>0.75247330550058733</v>
      </c>
      <c r="AB75" s="23">
        <f>EXP(-LN(2)/2)*AB74+(1-EXP(-LN(2)/2))/(LN(2)/2)*V75*Y75*VLOOKUP('Données projet'!$B$9,Paramètres!$A$1:$I$89,3,0)*0.475*44/12</f>
        <v>1.2288342821755358E-6</v>
      </c>
      <c r="AC75" s="24">
        <f t="shared" si="57"/>
        <v>2.8253628419332082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592.62229332551624</v>
      </c>
      <c r="AN75" s="62">
        <f ca="1">AVERAGE(OFFSET($AM$3,0,0,'Données projet'!$E$10+1,1))-AVERAGE(OFFSET($H$3,0,0,'Données projet'!$E$10+1,1))</f>
        <v>165.12229410621887</v>
      </c>
      <c r="AO75" s="62">
        <f t="shared" si="90"/>
        <v>148.17171564653341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40.806999999999981</v>
      </c>
      <c r="D76" s="12">
        <f t="shared" si="86"/>
        <v>12.212293058511113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409.27173589026114</v>
      </c>
      <c r="H76" s="70">
        <f t="shared" si="56"/>
        <v>385.67526874357344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</v>
      </c>
      <c r="N76" s="14">
        <f>IF('Données projet'!$A$36&gt;35,N75+M76-V75,IF(A76&lt;'Données projet'!$A$36,$K$205^A76,IF(A76='Données projet'!$A$36,'Données projet'!$B$36,N75+M76-V75)))</f>
        <v>397.00000000000011</v>
      </c>
      <c r="O76" s="14">
        <f>N76*VLOOKUP('Données projet'!$B$9,Paramètres!$A$1:$I$89,3,0)*VLOOKUP('Données projet'!$B$9,Paramètres!$A$1:$I$89,5,0)</f>
        <v>237.40600000000009</v>
      </c>
      <c r="P76" s="14">
        <f t="shared" si="87"/>
        <v>57.881066248213493</v>
      </c>
      <c r="Q76" s="22">
        <f t="shared" si="54"/>
        <v>514.29164038230522</v>
      </c>
      <c r="R76" s="62">
        <f t="shared" si="55"/>
        <v>807.62497371563859</v>
      </c>
      <c r="S76" s="62">
        <f ca="1">AVERAGE(OFFSET($R$3,0,0,'Données projet'!$E$9+1,1))-AVERAGE(OFFSET($H$3,0,0,'Données projet'!$E$9+1,1))</f>
        <v>215.01135052017145</v>
      </c>
      <c r="T76" s="62">
        <f t="shared" si="88"/>
        <v>136.68033570181791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2.0322402322233599</v>
      </c>
      <c r="AA76" s="23">
        <f>EXP(-LN(2)/25)*AA75+(1-EXP(-LN(2)/25))/(LN(2)/25)*Calculateur!V76*Calculateur!X76*VLOOKUP('Données projet'!$B$9,Paramètres!$A$1:$I$89,3,0)*0.475*44/12</f>
        <v>0.73189688339082248</v>
      </c>
      <c r="AB76" s="23">
        <f>EXP(-LN(2)/2)*AB75+(1-EXP(-LN(2)/2))/(LN(2)/2)*V76*Y76*VLOOKUP('Données projet'!$B$9,Paramètres!$A$1:$I$89,3,0)*0.475*44/12</f>
        <v>8.6891705388082478E-7</v>
      </c>
      <c r="AC76" s="24">
        <f t="shared" si="57"/>
        <v>2.7641379845312364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600.33856921208212</v>
      </c>
      <c r="AN76" s="62">
        <f ca="1">AVERAGE(OFFSET($AM$3,0,0,'Données projet'!$E$10+1,1))-AVERAGE(OFFSET($H$3,0,0,'Données projet'!$E$10+1,1))</f>
        <v>165.12229410621887</v>
      </c>
      <c r="AO76" s="62">
        <f t="shared" si="90"/>
        <v>148.17171564653341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41.365999999999978</v>
      </c>
      <c r="D77" s="12">
        <f t="shared" si="86"/>
        <v>12.359994738310659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414.72697692731026</v>
      </c>
      <c r="H77" s="70">
        <f t="shared" si="56"/>
        <v>386.90610750255769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</v>
      </c>
      <c r="N77" s="14">
        <f>IF('Données projet'!$A$36&gt;35,N76+M77-V76,IF(A77&lt;'Données projet'!$A$36,$K$205^A77,IF(A77='Données projet'!$A$36,'Données projet'!$B$36,N76+M77-V76)))</f>
        <v>406.00000000000011</v>
      </c>
      <c r="O77" s="14">
        <f>N77*VLOOKUP('Données projet'!$B$9,Paramètres!$A$1:$I$89,3,0)*VLOOKUP('Données projet'!$B$9,Paramètres!$A$1:$I$89,5,0)</f>
        <v>242.78800000000007</v>
      </c>
      <c r="P77" s="14">
        <f t="shared" si="87"/>
        <v>59.038978452354563</v>
      </c>
      <c r="Q77" s="22">
        <f t="shared" si="54"/>
        <v>525.68198747118436</v>
      </c>
      <c r="R77" s="62">
        <f t="shared" si="55"/>
        <v>819.01532080451761</v>
      </c>
      <c r="S77" s="62">
        <f ca="1">AVERAGE(OFFSET($R$3,0,0,'Données projet'!$E$9+1,1))-AVERAGE(OFFSET($H$3,0,0,'Données projet'!$E$9+1,1))</f>
        <v>215.01135052017145</v>
      </c>
      <c r="T77" s="62">
        <f t="shared" si="88"/>
        <v>136.68033570181791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1.9923892408136066</v>
      </c>
      <c r="AA77" s="23">
        <f>EXP(-LN(2)/25)*AA76+(1-EXP(-LN(2)/25))/(LN(2)/25)*Calculateur!V77*Calculateur!X77*VLOOKUP('Données projet'!$B$9,Paramètres!$A$1:$I$89,3,0)*0.475*44/12</f>
        <v>0.71188312462571612</v>
      </c>
      <c r="AB77" s="23">
        <f>EXP(-LN(2)/2)*AB76+(1-EXP(-LN(2)/2))/(LN(2)/2)*V77*Y77*VLOOKUP('Données projet'!$B$9,Paramètres!$A$1:$I$89,3,0)*0.475*44/12</f>
        <v>6.1441714108776788E-7</v>
      </c>
      <c r="AC77" s="24">
        <f t="shared" si="57"/>
        <v>2.704272979856464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608.05053594758101</v>
      </c>
      <c r="AN77" s="62">
        <f ca="1">AVERAGE(OFFSET($AM$3,0,0,'Données projet'!$E$10+1,1))-AVERAGE(OFFSET($H$3,0,0,'Données projet'!$E$10+1,1))</f>
        <v>165.12229410621887</v>
      </c>
      <c r="AO77" s="62">
        <f t="shared" si="90"/>
        <v>148.17171564653341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41.924999999999976</v>
      </c>
      <c r="D78" s="12">
        <f t="shared" si="86"/>
        <v>12.507464262517514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420.18042588609995</v>
      </c>
      <c r="H78" s="70">
        <f t="shared" si="56"/>
        <v>388.13654192388464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9</v>
      </c>
      <c r="N78" s="14">
        <f>IF('Données projet'!$A$36&gt;35,N77+M78-V77,IF(A78&lt;'Données projet'!$A$36,$K$205^A78,IF(A78='Données projet'!$A$36,'Données projet'!$B$36,N77+M78-V77)))</f>
        <v>415.00000000000011</v>
      </c>
      <c r="O78" s="14">
        <f>N78*VLOOKUP('Données projet'!$B$9,Paramètres!$A$1:$I$89,3,0)*VLOOKUP('Données projet'!$B$9,Paramètres!$A$1:$I$89,5,0)</f>
        <v>248.1700000000001</v>
      </c>
      <c r="P78" s="14">
        <f t="shared" si="87"/>
        <v>60.193906493778854</v>
      </c>
      <c r="Q78" s="22">
        <f t="shared" si="54"/>
        <v>537.06713714333159</v>
      </c>
      <c r="R78" s="62">
        <f t="shared" si="55"/>
        <v>830.40047047666485</v>
      </c>
      <c r="S78" s="62">
        <f ca="1">AVERAGE(OFFSET($R$3,0,0,'Données projet'!$E$9+1,1))-AVERAGE(OFFSET($H$3,0,0,'Données projet'!$E$9+1,1))</f>
        <v>215.01135052017145</v>
      </c>
      <c r="T78" s="62">
        <f t="shared" si="88"/>
        <v>136.68033570181791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1.953319703038694</v>
      </c>
      <c r="AA78" s="23">
        <f>EXP(-LN(2)/25)*AA77+(1-EXP(-LN(2)/25))/(LN(2)/25)*Calculateur!V78*Calculateur!X78*VLOOKUP('Données projet'!$B$9,Paramètres!$A$1:$I$89,3,0)*0.475*44/12</f>
        <v>0.69241664314651941</v>
      </c>
      <c r="AB78" s="23">
        <f>EXP(-LN(2)/2)*AB77+(1-EXP(-LN(2)/2))/(LN(2)/2)*V78*Y78*VLOOKUP('Données projet'!$B$9,Paramètres!$A$1:$I$89,3,0)*0.475*44/12</f>
        <v>4.3445852694041239E-7</v>
      </c>
      <c r="AC78" s="24">
        <f t="shared" si="57"/>
        <v>2.6457367806437402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615.75831412025195</v>
      </c>
      <c r="AN78" s="62">
        <f ca="1">AVERAGE(OFFSET($AM$3,0,0,'Données projet'!$E$10+1,1))-AVERAGE(OFFSET($H$3,0,0,'Données projet'!$E$10+1,1))</f>
        <v>165.12229410621887</v>
      </c>
      <c r="AO78" s="62">
        <f t="shared" si="90"/>
        <v>148.17171564653341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42.483999999999973</v>
      </c>
      <c r="D79" s="12">
        <f t="shared" si="86"/>
        <v>12.654705084370672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425.63210942321194</v>
      </c>
      <c r="H79" s="70">
        <f t="shared" si="56"/>
        <v>389.36657802194554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9</v>
      </c>
      <c r="N79" s="14">
        <f>IF('Données projet'!$A$36&gt;35,N78+M79-V78,IF(A79&lt;'Données projet'!$A$36,$K$205^A79,IF(A79='Données projet'!$A$36,'Données projet'!$B$36,N78+M79-V78)))</f>
        <v>424.00000000000011</v>
      </c>
      <c r="O79" s="14">
        <f>N79*VLOOKUP('Données projet'!$B$9,Paramètres!$A$1:$I$89,3,0)*VLOOKUP('Données projet'!$B$9,Paramètres!$A$1:$I$89,5,0)</f>
        <v>253.55200000000008</v>
      </c>
      <c r="P79" s="14">
        <f t="shared" si="87"/>
        <v>61.345922542613536</v>
      </c>
      <c r="Q79" s="22">
        <f t="shared" si="54"/>
        <v>548.447215095052</v>
      </c>
      <c r="R79" s="62">
        <f t="shared" si="55"/>
        <v>841.78054842838537</v>
      </c>
      <c r="S79" s="62">
        <f ca="1">AVERAGE(OFFSET($R$3,0,0,'Données projet'!$E$9+1,1))-AVERAGE(OFFSET($H$3,0,0,'Données projet'!$E$9+1,1))</f>
        <v>215.01135052017145</v>
      </c>
      <c r="T79" s="62">
        <f t="shared" si="88"/>
        <v>136.68033570181791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1.9150162950694822</v>
      </c>
      <c r="AA79" s="23">
        <f>EXP(-LN(2)/25)*AA78+(1-EXP(-LN(2)/25))/(LN(2)/25)*Calculateur!V79*Calculateur!X79*VLOOKUP('Données projet'!$B$9,Paramètres!$A$1:$I$89,3,0)*0.475*44/12</f>
        <v>0.67348247362706914</v>
      </c>
      <c r="AB79" s="23">
        <f>EXP(-LN(2)/2)*AB78+(1-EXP(-LN(2)/2))/(LN(2)/2)*V79*Y79*VLOOKUP('Données projet'!$B$9,Paramètres!$A$1:$I$89,3,0)*0.475*44/12</f>
        <v>3.0720857054388394E-7</v>
      </c>
      <c r="AC79" s="24">
        <f t="shared" si="57"/>
        <v>2.5884990759051218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623.46201807689283</v>
      </c>
      <c r="AN79" s="62">
        <f ca="1">AVERAGE(OFFSET($AM$3,0,0,'Données projet'!$E$10+1,1))-AVERAGE(OFFSET($H$3,0,0,'Données projet'!$E$10+1,1))</f>
        <v>165.12229410621887</v>
      </c>
      <c r="AO79" s="62">
        <f t="shared" si="90"/>
        <v>148.17171564653341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43.042999999999971</v>
      </c>
      <c r="D80" s="12">
        <f t="shared" si="86"/>
        <v>12.80172056101086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431.08205345341702</v>
      </c>
      <c r="H80" s="70">
        <f t="shared" si="56"/>
        <v>390.59622164376049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9</v>
      </c>
      <c r="N80" s="14">
        <f>IF('Données projet'!$A$36&gt;35,N79+M80-V79,IF(A80&lt;'Données projet'!$A$36,$K$205^A80,IF(A80='Données projet'!$A$36,'Données projet'!$B$36,N79+M80-V79)))</f>
        <v>433.00000000000011</v>
      </c>
      <c r="O80" s="14">
        <f>N80*VLOOKUP('Données projet'!$B$9,Paramètres!$A$1:$I$89,3,0)*VLOOKUP('Données projet'!$B$9,Paramètres!$A$1:$I$89,5,0)</f>
        <v>258.93400000000008</v>
      </c>
      <c r="P80" s="14">
        <f t="shared" si="87"/>
        <v>62.495095530116075</v>
      </c>
      <c r="Q80" s="22">
        <f t="shared" si="54"/>
        <v>559.82234138161891</v>
      </c>
      <c r="R80" s="62">
        <f t="shared" si="55"/>
        <v>853.15567471495228</v>
      </c>
      <c r="S80" s="62">
        <f ca="1">AVERAGE(OFFSET($R$3,0,0,'Données projet'!$E$9+1,1))-AVERAGE(OFFSET($H$3,0,0,'Données projet'!$E$9+1,1))</f>
        <v>215.01135052017145</v>
      </c>
      <c r="T80" s="62">
        <f t="shared" si="88"/>
        <v>136.68033570181791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1.8774639935677748</v>
      </c>
      <c r="AA80" s="23">
        <f>EXP(-LN(2)/25)*AA79+(1-EXP(-LN(2)/25))/(LN(2)/25)*Calculateur!V80*Calculateur!X80*VLOOKUP('Données projet'!$B$9,Paramètres!$A$1:$I$89,3,0)*0.475*44/12</f>
        <v>0.65506605996883294</v>
      </c>
      <c r="AB80" s="23">
        <f>EXP(-LN(2)/2)*AB79+(1-EXP(-LN(2)/2))/(LN(2)/2)*V80*Y80*VLOOKUP('Données projet'!$B$9,Paramètres!$A$1:$I$89,3,0)*0.475*44/12</f>
        <v>2.1722926347020619E-7</v>
      </c>
      <c r="AC80" s="24">
        <f t="shared" si="57"/>
        <v>2.532530270765871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631.16175638723314</v>
      </c>
      <c r="AN80" s="62">
        <f ca="1">AVERAGE(OFFSET($AM$3,0,0,'Données projet'!$E$10+1,1))-AVERAGE(OFFSET($H$3,0,0,'Données projet'!$E$10+1,1))</f>
        <v>165.12229410621887</v>
      </c>
      <c r="AO80" s="62">
        <f t="shared" si="90"/>
        <v>148.17171564653341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43.601999999999968</v>
      </c>
      <c r="D81" s="12">
        <f t="shared" si="86"/>
        <v>12.948513957367386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436.53028317967784</v>
      </c>
      <c r="H81" s="70">
        <f t="shared" si="56"/>
        <v>391.82547847574813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9</v>
      </c>
      <c r="N81" s="14">
        <f>IF('Données projet'!$A$36&gt;35,N80+M81-V80,IF(A81&lt;'Données projet'!$A$36,$K$205^A81,IF(A81='Données projet'!$A$36,'Données projet'!$B$36,N80+M81-V80)))</f>
        <v>442.00000000000011</v>
      </c>
      <c r="O81" s="14">
        <f>N81*VLOOKUP('Données projet'!$B$9,Paramètres!$A$1:$I$89,3,0)*VLOOKUP('Données projet'!$B$9,Paramètres!$A$1:$I$89,5,0)</f>
        <v>264.31600000000009</v>
      </c>
      <c r="P81" s="14">
        <f t="shared" si="87"/>
        <v>63.641491358279801</v>
      </c>
      <c r="Q81" s="22">
        <f t="shared" si="54"/>
        <v>571.19263078233746</v>
      </c>
      <c r="R81" s="62">
        <f t="shared" si="55"/>
        <v>864.52596411567083</v>
      </c>
      <c r="S81" s="62">
        <f ca="1">AVERAGE(OFFSET($R$3,0,0,'Données projet'!$E$9+1,1))-AVERAGE(OFFSET($H$3,0,0,'Données projet'!$E$9+1,1))</f>
        <v>215.01135052017145</v>
      </c>
      <c r="T81" s="62">
        <f t="shared" si="88"/>
        <v>136.68033570181791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1.8406480697938736</v>
      </c>
      <c r="AA81" s="23">
        <f>EXP(-LN(2)/25)*AA80+(1-EXP(-LN(2)/25))/(LN(2)/25)*Calculateur!V81*Calculateur!X81*VLOOKUP('Données projet'!$B$9,Paramètres!$A$1:$I$89,3,0)*0.475*44/12</f>
        <v>0.63715324411055829</v>
      </c>
      <c r="AB81" s="23">
        <f>EXP(-LN(2)/2)*AB80+(1-EXP(-LN(2)/2))/(LN(2)/2)*V81*Y81*VLOOKUP('Données projet'!$B$9,Paramètres!$A$1:$I$89,3,0)*0.475*44/12</f>
        <v>1.5360428527194197E-7</v>
      </c>
      <c r="AC81" s="24">
        <f t="shared" si="57"/>
        <v>2.477801467508717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638.85763226372899</v>
      </c>
      <c r="AN81" s="62">
        <f ca="1">AVERAGE(OFFSET($AM$3,0,0,'Données projet'!$E$10+1,1))-AVERAGE(OFFSET($H$3,0,0,'Données projet'!$E$10+1,1))</f>
        <v>165.12229410621887</v>
      </c>
      <c r="AO81" s="62">
        <f t="shared" si="90"/>
        <v>148.17171564653341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44.160999999999966</v>
      </c>
      <c r="D82" s="12">
        <f t="shared" si="86"/>
        <v>13.095088449839977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441.9768231215715</v>
      </c>
      <c r="H82" s="70">
        <f t="shared" si="56"/>
        <v>393.05435405013787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9</v>
      </c>
      <c r="N82" s="14">
        <f>IF('Données projet'!$A$36&gt;35,N81+M82-V81,IF(A82&lt;'Données projet'!$A$36,$K$205^A82,IF(A82='Données projet'!$A$36,'Données projet'!$B$36,N81+M82-V81)))</f>
        <v>451.00000000000011</v>
      </c>
      <c r="O82" s="14">
        <f>N82*VLOOKUP('Données projet'!$B$9,Paramètres!$A$1:$I$89,3,0)*VLOOKUP('Données projet'!$B$9,Paramètres!$A$1:$I$89,5,0)</f>
        <v>269.69800000000009</v>
      </c>
      <c r="P82" s="14">
        <f t="shared" si="87"/>
        <v>64.785173091884289</v>
      </c>
      <c r="Q82" s="22">
        <f t="shared" si="54"/>
        <v>582.55819313503196</v>
      </c>
      <c r="R82" s="62">
        <f t="shared" si="55"/>
        <v>875.89152646836533</v>
      </c>
      <c r="S82" s="62">
        <f ca="1">AVERAGE(OFFSET($R$3,0,0,'Données projet'!$E$9+1,1))-AVERAGE(OFFSET($H$3,0,0,'Données projet'!$E$9+1,1))</f>
        <v>215.01135052017145</v>
      </c>
      <c r="T82" s="62">
        <f t="shared" si="88"/>
        <v>136.68033570181791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1.8045540838296825</v>
      </c>
      <c r="AA82" s="23">
        <f>EXP(-LN(2)/25)*AA81+(1-EXP(-LN(2)/25))/(LN(2)/25)*Calculateur!V82*Calculateur!X82*VLOOKUP('Données projet'!$B$9,Paramètres!$A$1:$I$89,3,0)*0.475*44/12</f>
        <v>0.61973025514392222</v>
      </c>
      <c r="AB82" s="23">
        <f>EXP(-LN(2)/2)*AB81+(1-EXP(-LN(2)/2))/(LN(2)/2)*V82*Y82*VLOOKUP('Données projet'!$B$9,Paramètres!$A$1:$I$89,3,0)*0.475*44/12</f>
        <v>1.086146317351031E-7</v>
      </c>
      <c r="AC82" s="24">
        <f t="shared" si="57"/>
        <v>2.4242844475882368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646.54974394198075</v>
      </c>
      <c r="AN82" s="62">
        <f ca="1">AVERAGE(OFFSET($AM$3,0,0,'Données projet'!$E$10+1,1))-AVERAGE(OFFSET($H$3,0,0,'Données projet'!$E$10+1,1))</f>
        <v>165.12229410621887</v>
      </c>
      <c r="AO82" s="62">
        <f t="shared" si="90"/>
        <v>148.17171564653341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44.719999999999963</v>
      </c>
      <c r="D83" s="12">
        <f t="shared" si="86"/>
        <v>13.24144712978892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447.42169714222996</v>
      </c>
      <c r="H83" s="70">
        <f t="shared" si="56"/>
        <v>394.28285375104895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460</v>
      </c>
      <c r="L83" s="13">
        <f>VLOOKUP(A83,'Données projet'!$A$35:$I$55,9,0)</f>
        <v>9</v>
      </c>
      <c r="M83" s="13">
        <f t="array" ref="M83">INDEX(L:L,MIN(IF(ISNUMBER(L83:L279),ROW(L83:L279),"")))</f>
        <v>9</v>
      </c>
      <c r="N83" s="14">
        <f>IF('Données projet'!$A$36&gt;35,N82+M83-V82,IF(A83&lt;'Données projet'!$A$36,$K$205^A83,IF(A83='Données projet'!$A$36,'Données projet'!$B$36,N82+M83-V82)))</f>
        <v>460.00000000000011</v>
      </c>
      <c r="O83" s="14">
        <f>N83*VLOOKUP('Données projet'!$B$9,Paramètres!$A$1:$I$89,3,0)*VLOOKUP('Données projet'!$B$9,Paramètres!$A$1:$I$89,5,0)</f>
        <v>275.0800000000001</v>
      </c>
      <c r="P83" s="14">
        <f t="shared" si="87"/>
        <v>65.926201134783341</v>
      </c>
      <c r="Q83" s="22">
        <f t="shared" si="54"/>
        <v>593.91913364308118</v>
      </c>
      <c r="R83" s="62">
        <f t="shared" si="55"/>
        <v>887.25246697641455</v>
      </c>
      <c r="S83" s="62">
        <f ca="1">AVERAGE(OFFSET($R$3,0,0,'Données projet'!$E$9+1,1))-AVERAGE(OFFSET($H$3,0,0,'Données projet'!$E$9+1,1))</f>
        <v>215.01135052017145</v>
      </c>
      <c r="T83" s="62">
        <f t="shared" si="88"/>
        <v>136.68033570181791</v>
      </c>
      <c r="U83" s="16">
        <f>IF(ISNA(VLOOKUP(A83,'Données projet'!$A$35:$I$55,3,0)),0,VLOOKUP(A83,'Données projet'!$A$35:$I$55,3,0))</f>
        <v>8</v>
      </c>
      <c r="V83" s="16">
        <f>IF(ISNA(VLOOKUP(A83,'Données projet'!$A$35:$I$55,4,0)),0,VLOOKUP(A83,'Données projet'!$A$35:$I$55,4,0))</f>
        <v>460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1.7691678789150915</v>
      </c>
      <c r="AA83" s="23">
        <f>EXP(-LN(2)/25)*AA82+(1-EXP(-LN(2)/25))/(LN(2)/25)*Calculateur!V83*Calculateur!X83*VLOOKUP('Données projet'!$B$9,Paramètres!$A$1:$I$89,3,0)*0.475*44/12</f>
        <v>0.60278369872681392</v>
      </c>
      <c r="AB83" s="23">
        <f>EXP(-LN(2)/2)*AB82+(1-EXP(-LN(2)/2))/(LN(2)/2)*V83*Y83*VLOOKUP('Données projet'!$B$9,Paramètres!$A$1:$I$89,3,0)*0.475*44/12</f>
        <v>7.6802142635970985E-8</v>
      </c>
      <c r="AC83" s="24">
        <f t="shared" si="57"/>
        <v>2.371951654444048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654.23818502626091</v>
      </c>
      <c r="AN83" s="62">
        <f ca="1">AVERAGE(OFFSET($AM$3,0,0,'Données projet'!$E$10+1,1))-AVERAGE(OFFSET($H$3,0,0,'Données projet'!$E$10+1,1))</f>
        <v>165.12229410621887</v>
      </c>
      <c r="AO83" s="62">
        <f t="shared" si="90"/>
        <v>148.17171564653341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45.278999999999961</v>
      </c>
      <c r="D84" s="12">
        <f t="shared" si="86"/>
        <v>13.387593006845686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452.86492847389621</v>
      </c>
      <c r="H84" s="70">
        <f t="shared" si="56"/>
        <v>395.51098282025612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215.01135052017145</v>
      </c>
      <c r="T84" s="62">
        <f t="shared" si="88"/>
        <v>136.68033570181791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1.7344755758954218</v>
      </c>
      <c r="AA84" s="23">
        <f>EXP(-LN(2)/25)*AA83+(1-EXP(-LN(2)/25))/(LN(2)/25)*Calculateur!V84*Calculateur!X84*VLOOKUP('Données projet'!$B$9,Paramètres!$A$1:$I$89,3,0)*0.475*44/12</f>
        <v>0.58630054678611221</v>
      </c>
      <c r="AB84" s="23">
        <f>EXP(-LN(2)/2)*AB83+(1-EXP(-LN(2)/2))/(LN(2)/2)*V84*Y84*VLOOKUP('Données projet'!$B$9,Paramètres!$A$1:$I$89,3,0)*0.475*44/12</f>
        <v>5.4307315867551548E-8</v>
      </c>
      <c r="AC84" s="24">
        <f t="shared" si="57"/>
        <v>2.3207761769888497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591.51960909485115</v>
      </c>
      <c r="AN84" s="62">
        <f ca="1">AVERAGE(OFFSET($AM$3,0,0,'Données projet'!$E$10+1,1))-AVERAGE(OFFSET($H$3,0,0,'Données projet'!$E$10+1,1))</f>
        <v>165.12229410621887</v>
      </c>
      <c r="AO84" s="62">
        <f t="shared" si="90"/>
        <v>148.17171564653341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45.837999999999958</v>
      </c>
      <c r="D85" s="12">
        <f t="shared" si="86"/>
        <v>13.533529012055453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458.30653974218217</v>
      </c>
      <c r="H85" s="70">
        <f t="shared" si="56"/>
        <v>396.73874636266316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215.01135052017145</v>
      </c>
      <c r="T85" s="62">
        <f t="shared" si="88"/>
        <v>136.68033570181791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1.7004635677777524</v>
      </c>
      <c r="AA85" s="23">
        <f>EXP(-LN(2)/25)*AA84+(1-EXP(-LN(2)/25))/(LN(2)/25)*Calculateur!V85*Calculateur!X85*VLOOKUP('Données projet'!$B$9,Paramètres!$A$1:$I$89,3,0)*0.475*44/12</f>
        <v>0.57026812750204026</v>
      </c>
      <c r="AB85" s="23">
        <f>EXP(-LN(2)/2)*AB84+(1-EXP(-LN(2)/2))/(LN(2)/2)*V85*Y85*VLOOKUP('Données projet'!$B$9,Paramètres!$A$1:$I$89,3,0)*0.475*44/12</f>
        <v>3.8401071317985493E-8</v>
      </c>
      <c r="AC85" s="24">
        <f t="shared" si="57"/>
        <v>2.2707317336808637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599.83764449491503</v>
      </c>
      <c r="AN85" s="62">
        <f ca="1">AVERAGE(OFFSET($AM$3,0,0,'Données projet'!$E$10+1,1))-AVERAGE(OFFSET($H$3,0,0,'Données projet'!$E$10+1,1))</f>
        <v>165.12229410621887</v>
      </c>
      <c r="AO85" s="62">
        <f t="shared" si="90"/>
        <v>148.17171564653341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46.396999999999956</v>
      </c>
      <c r="D86" s="12">
        <f t="shared" si="86"/>
        <v>13.679258000861923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463.7465529891092</v>
      </c>
      <c r="H86" s="70">
        <f t="shared" si="56"/>
        <v>397.96614935150109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215.01135052017145</v>
      </c>
      <c r="T86" s="62">
        <f t="shared" si="88"/>
        <v>136.68033570181791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1.6671185143939939</v>
      </c>
      <c r="AA86" s="23">
        <f>EXP(-LN(2)/25)*AA85+(1-EXP(-LN(2)/25))/(LN(2)/25)*Calculateur!V86*Calculateur!X86*VLOOKUP('Données projet'!$B$9,Paramètres!$A$1:$I$89,3,0)*0.475*44/12</f>
        <v>0.55467411556639945</v>
      </c>
      <c r="AB86" s="23">
        <f>EXP(-LN(2)/2)*AB85+(1-EXP(-LN(2)/2))/(LN(2)/2)*V86*Y86*VLOOKUP('Données projet'!$B$9,Paramètres!$A$1:$I$89,3,0)*0.475*44/12</f>
        <v>2.7153657933775774E-8</v>
      </c>
      <c r="AC86" s="24">
        <f t="shared" si="57"/>
        <v>2.2217926571140514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608.15066355408305</v>
      </c>
      <c r="AN86" s="62">
        <f ca="1">AVERAGE(OFFSET($AM$3,0,0,'Données projet'!$E$10+1,1))-AVERAGE(OFFSET($H$3,0,0,'Données projet'!$E$10+1,1))</f>
        <v>165.12229410621887</v>
      </c>
      <c r="AO86" s="62">
        <f t="shared" si="90"/>
        <v>148.17171564653341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46.955999999999953</v>
      </c>
      <c r="D87" s="12">
        <f t="shared" si="86"/>
        <v>13.824782755944199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469.18498969500752</v>
      </c>
      <c r="H87" s="70">
        <f t="shared" si="56"/>
        <v>399.19319663326939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215.01135052017145</v>
      </c>
      <c r="T87" s="62">
        <f t="shared" si="88"/>
        <v>136.68033570181791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1.6344273371686167</v>
      </c>
      <c r="AA87" s="23">
        <f>EXP(-LN(2)/25)*AA86+(1-EXP(-LN(2)/25))/(LN(2)/25)*Calculateur!V87*Calculateur!X87*VLOOKUP('Données projet'!$B$9,Paramètres!$A$1:$I$89,3,0)*0.475*44/12</f>
        <v>0.53950652270719224</v>
      </c>
      <c r="AB87" s="23">
        <f>EXP(-LN(2)/2)*AB86+(1-EXP(-LN(2)/2))/(LN(2)/2)*V87*Y87*VLOOKUP('Données projet'!$B$9,Paramètres!$A$1:$I$89,3,0)*0.475*44/12</f>
        <v>1.9200535658992746E-8</v>
      </c>
      <c r="AC87" s="24">
        <f t="shared" si="57"/>
        <v>2.1739338790763445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616.45881752810544</v>
      </c>
      <c r="AN87" s="62">
        <f ca="1">AVERAGE(OFFSET($AM$3,0,0,'Données projet'!$E$10+1,1))-AVERAGE(OFFSET($H$3,0,0,'Données projet'!$E$10+1,1))</f>
        <v>165.12229410621887</v>
      </c>
      <c r="AO87" s="62">
        <f t="shared" si="90"/>
        <v>148.17171564653341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47.514999999999951</v>
      </c>
      <c r="D88" s="12">
        <f t="shared" si="86"/>
        <v>13.970105989914776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474.62187079934182</v>
      </c>
      <c r="H88" s="70">
        <f t="shared" si="56"/>
        <v>400.41989293243478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215.01135052017145</v>
      </c>
      <c r="T88" s="62">
        <f t="shared" si="88"/>
        <v>136.68033570181791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1.6023772139889798</v>
      </c>
      <c r="AA88" s="23">
        <f>EXP(-LN(2)/25)*AA87+(1-EXP(-LN(2)/25))/(LN(2)/25)*Calculateur!V88*Calculateur!X88*VLOOKUP('Données projet'!$B$9,Paramètres!$A$1:$I$89,3,0)*0.475*44/12</f>
        <v>0.52475368847234904</v>
      </c>
      <c r="AB88" s="23">
        <f>EXP(-LN(2)/2)*AB87+(1-EXP(-LN(2)/2))/(LN(2)/2)*V88*Y88*VLOOKUP('Données projet'!$B$9,Paramètres!$A$1:$I$89,3,0)*0.475*44/12</f>
        <v>1.3576828966887887E-8</v>
      </c>
      <c r="AC88" s="24">
        <f t="shared" si="57"/>
        <v>2.127130916038158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624.76224925320605</v>
      </c>
      <c r="AN88" s="62">
        <f ca="1">AVERAGE(OFFSET($AM$3,0,0,'Données projet'!$E$10+1,1))-AVERAGE(OFFSET($H$3,0,0,'Données projet'!$E$10+1,1))</f>
        <v>165.12229410621887</v>
      </c>
      <c r="AO88" s="62">
        <f t="shared" si="90"/>
        <v>148.17171564653341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48.073999999999948</v>
      </c>
      <c r="D89" s="12">
        <f t="shared" si="86"/>
        <v>14.115230347886868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480.05721672052988</v>
      </c>
      <c r="H89" s="70">
        <f t="shared" si="56"/>
        <v>401.64624285590287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215.01135052017145</v>
      </c>
      <c r="T89" s="62">
        <f t="shared" si="88"/>
        <v>136.68033570181791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1.5709555741762509</v>
      </c>
      <c r="AA89" s="23">
        <f>EXP(-LN(2)/25)*AA88+(1-EXP(-LN(2)/25))/(LN(2)/25)*Calculateur!V89*Calculateur!X89*VLOOKUP('Données projet'!$B$9,Paramètres!$A$1:$I$89,3,0)*0.475*44/12</f>
        <v>0.5104042712654755</v>
      </c>
      <c r="AB89" s="23">
        <f>EXP(-LN(2)/2)*AB88+(1-EXP(-LN(2)/2))/(LN(2)/2)*V89*Y89*VLOOKUP('Données projet'!$B$9,Paramètres!$A$1:$I$89,3,0)*0.475*44/12</f>
        <v>9.6002678294963732E-9</v>
      </c>
      <c r="AC89" s="24">
        <f t="shared" si="57"/>
        <v>2.0813598550419941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633.06109381857652</v>
      </c>
      <c r="AN89" s="62">
        <f ca="1">AVERAGE(OFFSET($AM$3,0,0,'Données projet'!$E$10+1,1))-AVERAGE(OFFSET($H$3,0,0,'Données projet'!$E$10+1,1))</f>
        <v>165.12229410621887</v>
      </c>
      <c r="AO89" s="62">
        <f t="shared" si="90"/>
        <v>148.17171564653341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48.632999999999946</v>
      </c>
      <c r="D90" s="12">
        <f t="shared" si="86"/>
        <v>14.260158409918965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485.49104737481269</v>
      </c>
      <c r="H90" s="70">
        <f t="shared" si="56"/>
        <v>402.87225089727542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215.01135052017145</v>
      </c>
      <c r="T90" s="62">
        <f t="shared" si="88"/>
        <v>136.68033570181791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1.5401500935549417</v>
      </c>
      <c r="AA90" s="23">
        <f>EXP(-LN(2)/25)*AA89+(1-EXP(-LN(2)/25))/(LN(2)/25)*Calculateur!V90*Calculateur!X90*VLOOKUP('Données projet'!$B$9,Paramètres!$A$1:$I$89,3,0)*0.475*44/12</f>
        <v>0.49644723962672699</v>
      </c>
      <c r="AB90" s="23">
        <f>EXP(-LN(2)/2)*AB89+(1-EXP(-LN(2)/2))/(LN(2)/2)*V90*Y90*VLOOKUP('Données projet'!$B$9,Paramètres!$A$1:$I$89,3,0)*0.475*44/12</f>
        <v>6.7884144834439436E-9</v>
      </c>
      <c r="AC90" s="24">
        <f t="shared" si="57"/>
        <v>2.0365973399700827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641.35547916968756</v>
      </c>
      <c r="AN90" s="62">
        <f ca="1">AVERAGE(OFFSET($AM$3,0,0,'Données projet'!$E$10+1,1))-AVERAGE(OFFSET($H$3,0,0,'Données projet'!$E$10+1,1))</f>
        <v>165.12229410621887</v>
      </c>
      <c r="AO90" s="62">
        <f t="shared" si="90"/>
        <v>148.17171564653341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49.191999999999943</v>
      </c>
      <c r="D91" s="12">
        <f t="shared" si="86"/>
        <v>14.404892693343806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490.92338219423249</v>
      </c>
      <c r="H91" s="70">
        <f t="shared" si="56"/>
        <v>404.09792144090699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215.01135052017145</v>
      </c>
      <c r="T91" s="62">
        <f t="shared" si="88"/>
        <v>136.68033570181791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1.5099486896191285</v>
      </c>
      <c r="AA91" s="23">
        <f>EXP(-LN(2)/25)*AA90+(1-EXP(-LN(2)/25))/(LN(2)/25)*Calculateur!V91*Calculateur!X91*VLOOKUP('Données projet'!$B$9,Paramètres!$A$1:$I$89,3,0)*0.475*44/12</f>
        <v>0.48287186375210844</v>
      </c>
      <c r="AB91" s="23">
        <f>EXP(-LN(2)/2)*AB90+(1-EXP(-LN(2)/2))/(LN(2)/2)*V91*Y91*VLOOKUP('Données projet'!$B$9,Paramètres!$A$1:$I$89,3,0)*0.475*44/12</f>
        <v>4.8001339147481866E-9</v>
      </c>
      <c r="AC91" s="24">
        <f t="shared" si="57"/>
        <v>1.9928205581713707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649.64552665104611</v>
      </c>
      <c r="AN91" s="62">
        <f ca="1">AVERAGE(OFFSET($AM$3,0,0,'Données projet'!$E$10+1,1))-AVERAGE(OFFSET($H$3,0,0,'Données projet'!$E$10+1,1))</f>
        <v>165.12229410621887</v>
      </c>
      <c r="AO91" s="62">
        <f t="shared" si="90"/>
        <v>148.17171564653341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49.750999999999941</v>
      </c>
      <c r="D92" s="12">
        <f t="shared" si="86"/>
        <v>14.549435654988406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496.35424014376969</v>
      </c>
      <c r="H92" s="70">
        <f t="shared" si="56"/>
        <v>405.32325876577136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215.01135052017145</v>
      </c>
      <c r="T92" s="62">
        <f t="shared" si="88"/>
        <v>136.68033570181791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1.480339516793459</v>
      </c>
      <c r="AA92" s="23">
        <f>EXP(-LN(2)/25)*AA91+(1-EXP(-LN(2)/25))/(LN(2)/25)*Calculateur!V92*Calculateur!X92*VLOOKUP('Données projet'!$B$9,Paramètres!$A$1:$I$89,3,0)*0.475*44/12</f>
        <v>0.46966770724467932</v>
      </c>
      <c r="AB92" s="23">
        <f>EXP(-LN(2)/2)*AB91+(1-EXP(-LN(2)/2))/(LN(2)/2)*V92*Y92*VLOOKUP('Données projet'!$B$9,Paramètres!$A$1:$I$89,3,0)*0.475*44/12</f>
        <v>3.3942072417219718E-9</v>
      </c>
      <c r="AC92" s="24">
        <f t="shared" si="57"/>
        <v>1.9500072274323454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657.93135149577597</v>
      </c>
      <c r="AN92" s="62">
        <f ca="1">AVERAGE(OFFSET($AM$3,0,0,'Données projet'!$E$10+1,1))-AVERAGE(OFFSET($H$3,0,0,'Données projet'!$E$10+1,1))</f>
        <v>165.12229410621887</v>
      </c>
      <c r="AO92" s="62">
        <f t="shared" si="90"/>
        <v>148.17171564653341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50.309999999999938</v>
      </c>
      <c r="D93" s="12">
        <f t="shared" si="86"/>
        <v>14.693789693291537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501.7836397376887</v>
      </c>
      <c r="H93" s="70">
        <f t="shared" si="56"/>
        <v>406.54826704914933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215.01135052017145</v>
      </c>
      <c r="T93" s="62">
        <f t="shared" si="88"/>
        <v>136.68033570181791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1.4513109617870887</v>
      </c>
      <c r="AA93" s="23">
        <f>EXP(-LN(2)/25)*AA92+(1-EXP(-LN(2)/25))/(LN(2)/25)*Calculateur!V93*Calculateur!X93*VLOOKUP('Données projet'!$B$9,Paramètres!$A$1:$I$89,3,0)*0.475*44/12</f>
        <v>0.45682461909132227</v>
      </c>
      <c r="AB93" s="23">
        <f>EXP(-LN(2)/2)*AB92+(1-EXP(-LN(2)/2))/(LN(2)/2)*V93*Y93*VLOOKUP('Données projet'!$B$9,Paramètres!$A$1:$I$89,3,0)*0.475*44/12</f>
        <v>2.4000669573740933E-9</v>
      </c>
      <c r="AC93" s="24">
        <f t="shared" si="57"/>
        <v>1.9081355832784781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666.21306326834599</v>
      </c>
      <c r="AN93" s="62">
        <f ca="1">AVERAGE(OFFSET($AM$3,0,0,'Données projet'!$E$10+1,1))-AVERAGE(OFFSET($H$3,0,0,'Données projet'!$E$10+1,1))</f>
        <v>165.12229410621887</v>
      </c>
      <c r="AO93" s="62">
        <f t="shared" si="90"/>
        <v>148.17171564653341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50.868999999999936</v>
      </c>
      <c r="D94" s="12">
        <f t="shared" si="86"/>
        <v>14.837957150324335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507.21159905513474</v>
      </c>
      <c r="H94" s="70">
        <f t="shared" si="56"/>
        <v>407.77295037014807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215.01135052017145</v>
      </c>
      <c r="T94" s="62">
        <f t="shared" si="88"/>
        <v>136.68033570181791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1.4228516390387231</v>
      </c>
      <c r="AA94" s="23">
        <f>EXP(-LN(2)/25)*AA93+(1-EXP(-LN(2)/25))/(LN(2)/25)*Calculateur!V94*Calculateur!X94*VLOOKUP('Données projet'!$B$9,Paramètres!$A$1:$I$89,3,0)*0.475*44/12</f>
        <v>0.44433272585890743</v>
      </c>
      <c r="AB94" s="23">
        <f>EXP(-LN(2)/2)*AB93+(1-EXP(-LN(2)/2))/(LN(2)/2)*V94*Y94*VLOOKUP('Données projet'!$B$9,Paramètres!$A$1:$I$89,3,0)*0.475*44/12</f>
        <v>1.6971036208609859E-9</v>
      </c>
      <c r="AC94" s="24">
        <f t="shared" si="57"/>
        <v>1.8671843665947341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601.5407144745302</v>
      </c>
      <c r="AN94" s="62">
        <f ca="1">AVERAGE(OFFSET($AM$3,0,0,'Données projet'!$E$10+1,1))-AVERAGE(OFFSET($H$3,0,0,'Données projet'!$E$10+1,1))</f>
        <v>165.12229410621887</v>
      </c>
      <c r="AO94" s="62">
        <f t="shared" si="90"/>
        <v>148.17171564653341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95" s="12">
        <f t="shared" si="86"/>
        <v>14.981940313719656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512.63813575502843</v>
      </c>
      <c r="H95" s="70">
        <f t="shared" si="56"/>
        <v>408.9973127130616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215.01135052017145</v>
      </c>
      <c r="T95" s="62">
        <f t="shared" si="88"/>
        <v>136.68033570181791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1.3949503862509802</v>
      </c>
      <c r="AA95" s="23">
        <f>EXP(-LN(2)/25)*AA94+(1-EXP(-LN(2)/25))/(LN(2)/25)*Calculateur!V95*Calculateur!X95*VLOOKUP('Données projet'!$B$9,Paramètres!$A$1:$I$89,3,0)*0.475*44/12</f>
        <v>0.4321824241038531</v>
      </c>
      <c r="AB95" s="23">
        <f>EXP(-LN(2)/2)*AB94+(1-EXP(-LN(2)/2))/(LN(2)/2)*V95*Y95*VLOOKUP('Données projet'!$B$9,Paramètres!$A$1:$I$89,3,0)*0.475*44/12</f>
        <v>1.2000334786870466E-9</v>
      </c>
      <c r="AC95" s="24">
        <f t="shared" si="57"/>
        <v>1.8271328115548666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609.85272503893361</v>
      </c>
      <c r="AN95" s="62">
        <f ca="1">AVERAGE(OFFSET($AM$3,0,0,'Données projet'!$E$10+1,1))-AVERAGE(OFFSET($H$3,0,0,'Données projet'!$E$10+1,1))</f>
        <v>165.12229410621887</v>
      </c>
      <c r="AO95" s="62">
        <f t="shared" si="90"/>
        <v>148.17171564653341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51.986999999999931</v>
      </c>
      <c r="D96" s="12">
        <f t="shared" si="86"/>
        <v>15.125741418515025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518.06326709029088</v>
      </c>
      <c r="H96" s="70">
        <f t="shared" si="56"/>
        <v>410.22135797058019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215.01135052017145</v>
      </c>
      <c r="T96" s="62">
        <f t="shared" si="88"/>
        <v>136.68033570181791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1.367596260012321</v>
      </c>
      <c r="AA96" s="23">
        <f>EXP(-LN(2)/25)*AA95+(1-EXP(-LN(2)/25))/(LN(2)/25)*Calculateur!V96*Calculateur!X96*VLOOKUP('Données projet'!$B$9,Paramètres!$A$1:$I$89,3,0)*0.475*44/12</f>
        <v>0.42036437298924734</v>
      </c>
      <c r="AB96" s="23">
        <f>EXP(-LN(2)/2)*AB95+(1-EXP(-LN(2)/2))/(LN(2)/2)*V96*Y96*VLOOKUP('Données projet'!$B$9,Paramètres!$A$1:$I$89,3,0)*0.475*44/12</f>
        <v>8.4855181043049294E-10</v>
      </c>
      <c r="AC96" s="24">
        <f t="shared" si="57"/>
        <v>1.7879606338501204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618.15990043635338</v>
      </c>
      <c r="AN96" s="62">
        <f ca="1">AVERAGE(OFFSET($AM$3,0,0,'Données projet'!$E$10+1,1))-AVERAGE(OFFSET($H$3,0,0,'Données projet'!$E$10+1,1))</f>
        <v>165.12229410621887</v>
      </c>
      <c r="AO96" s="62">
        <f t="shared" si="90"/>
        <v>148.17171564653341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52.545999999999928</v>
      </c>
      <c r="D97" s="12">
        <f t="shared" si="86"/>
        <v>15.269362648914145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523.487009921442</v>
      </c>
      <c r="H97" s="70">
        <f t="shared" si="56"/>
        <v>411.44508994685867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215.01135052017145</v>
      </c>
      <c r="T97" s="62">
        <f t="shared" si="88"/>
        <v>136.68033570181791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1.3407785315048324</v>
      </c>
      <c r="AA97" s="23">
        <f>EXP(-LN(2)/25)*AA96+(1-EXP(-LN(2)/25))/(LN(2)/25)*Calculateur!V97*Calculateur!X97*VLOOKUP('Données projet'!$B$9,Paramètres!$A$1:$I$89,3,0)*0.475*44/12</f>
        <v>0.40886948710385473</v>
      </c>
      <c r="AB97" s="23">
        <f>EXP(-LN(2)/2)*AB96+(1-EXP(-LN(2)/2))/(LN(2)/2)*V97*Y97*VLOOKUP('Données projet'!$B$9,Paramètres!$A$1:$I$89,3,0)*0.475*44/12</f>
        <v>6.0001673934352332E-10</v>
      </c>
      <c r="AC97" s="24">
        <f t="shared" si="57"/>
        <v>1.7496480192087038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626.46238186390872</v>
      </c>
      <c r="AN97" s="62">
        <f ca="1">AVERAGE(OFFSET($AM$3,0,0,'Données projet'!$E$10+1,1))-AVERAGE(OFFSET($H$3,0,0,'Données projet'!$E$10+1,1))</f>
        <v>165.12229410621887</v>
      </c>
      <c r="AO97" s="62">
        <f t="shared" si="90"/>
        <v>148.17171564653341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53.104999999999926</v>
      </c>
      <c r="D98" s="12">
        <f t="shared" si="86"/>
        <v>15.412806139971298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528.9093807296025</v>
      </c>
      <c r="H98" s="70">
        <f t="shared" si="56"/>
        <v>412.66851236044988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215.01135052017145</v>
      </c>
      <c r="T98" s="62">
        <f t="shared" si="88"/>
        <v>136.68033570181791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1.3144866822961765</v>
      </c>
      <c r="AA98" s="23">
        <f>EXP(-LN(2)/25)*AA97+(1-EXP(-LN(2)/25))/(LN(2)/25)*Calculateur!V98*Calculateur!X98*VLOOKUP('Données projet'!$B$9,Paramètres!$A$1:$I$89,3,0)*0.475*44/12</f>
        <v>0.39768892947748796</v>
      </c>
      <c r="AB98" s="23">
        <f>EXP(-LN(2)/2)*AB97+(1-EXP(-LN(2)/2))/(LN(2)/2)*V98*Y98*VLOOKUP('Données projet'!$B$9,Paramètres!$A$1:$I$89,3,0)*0.475*44/12</f>
        <v>4.2427590521524647E-10</v>
      </c>
      <c r="AC98" s="24">
        <f t="shared" si="57"/>
        <v>1.7121756121979403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634.76030290058748</v>
      </c>
      <c r="AN98" s="62">
        <f ca="1">AVERAGE(OFFSET($AM$3,0,0,'Données projet'!$E$10+1,1))-AVERAGE(OFFSET($H$3,0,0,'Données projet'!$E$10+1,1))</f>
        <v>165.12229410621887</v>
      </c>
      <c r="AO98" s="62">
        <f t="shared" si="90"/>
        <v>148.17171564653341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53.663999999999923</v>
      </c>
      <c r="D99" s="12">
        <f t="shared" si="86"/>
        <v>15.556073979202761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534.33039562893293</v>
      </c>
      <c r="H99" s="70">
        <f t="shared" si="56"/>
        <v>413.89162884711129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215.01135052017145</v>
      </c>
      <c r="T99" s="62">
        <f t="shared" si="88"/>
        <v>136.68033570181791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1.2887104002140577</v>
      </c>
      <c r="AA99" s="23">
        <f>EXP(-LN(2)/25)*AA98+(1-EXP(-LN(2)/25))/(LN(2)/25)*Calculateur!V99*Calculateur!X99*VLOOKUP('Données projet'!$B$9,Paramètres!$A$1:$I$89,3,0)*0.475*44/12</f>
        <v>0.38681410478737416</v>
      </c>
      <c r="AB99" s="23">
        <f>EXP(-LN(2)/2)*AB98+(1-EXP(-LN(2)/2))/(LN(2)/2)*V99*Y99*VLOOKUP('Données projet'!$B$9,Paramètres!$A$1:$I$89,3,0)*0.475*44/12</f>
        <v>3.0000836967176166E-10</v>
      </c>
      <c r="AC99" s="24">
        <f t="shared" si="57"/>
        <v>1.6755245053014403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643.05379009749686</v>
      </c>
      <c r="AN99" s="62">
        <f ca="1">AVERAGE(OFFSET($AM$3,0,0,'Données projet'!$E$10+1,1))-AVERAGE(OFFSET($H$3,0,0,'Données projet'!$E$10+1,1))</f>
        <v>165.12229410621887</v>
      </c>
      <c r="AO99" s="62">
        <f t="shared" si="90"/>
        <v>148.17171564653341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54.222999999999921</v>
      </c>
      <c r="D100" s="12">
        <f t="shared" si="86"/>
        <v>15.699168208129208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539.75007037854073</v>
      </c>
      <c r="H100" s="70">
        <f t="shared" si="56"/>
        <v>415.11444296249152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215.01135052017145</v>
      </c>
      <c r="T100" s="62">
        <f t="shared" si="88"/>
        <v>136.68033570181791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1.2634395753015897</v>
      </c>
      <c r="AA100" s="23">
        <f>EXP(-LN(2)/25)*AA99+(1-EXP(-LN(2)/25))/(LN(2)/25)*Calculateur!V100*Calculateur!X100*VLOOKUP('Données projet'!$B$9,Paramètres!$A$1:$I$89,3,0)*0.475*44/12</f>
        <v>0.37623665275029372</v>
      </c>
      <c r="AB100" s="23">
        <f>EXP(-LN(2)/2)*AB99+(1-EXP(-LN(2)/2))/(LN(2)/2)*V100*Y100*VLOOKUP('Données projet'!$B$9,Paramètres!$A$1:$I$89,3,0)*0.475*44/12</f>
        <v>2.1213795260762324E-10</v>
      </c>
      <c r="AC100" s="24">
        <f t="shared" si="57"/>
        <v>1.6396762282640212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651.3429635091652</v>
      </c>
      <c r="AN100" s="62">
        <f ca="1">AVERAGE(OFFSET($AM$3,0,0,'Données projet'!$E$10+1,1))-AVERAGE(OFFSET($H$3,0,0,'Données projet'!$E$10+1,1))</f>
        <v>165.12229410621887</v>
      </c>
      <c r="AO100" s="62">
        <f t="shared" si="90"/>
        <v>148.17171564653341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54.781999999999918</v>
      </c>
      <c r="D101" s="12">
        <f t="shared" si="86"/>
        <v>15.842090823752644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545.1684203938795</v>
      </c>
      <c r="H101" s="70">
        <f t="shared" si="56"/>
        <v>416.33695818470238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215.01135052017145</v>
      </c>
      <c r="T101" s="62">
        <f t="shared" si="88"/>
        <v>136.68033570181791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1.2386642958519738</v>
      </c>
      <c r="AA101" s="23">
        <f>EXP(-LN(2)/25)*AA100+(1-EXP(-LN(2)/25))/(LN(2)/25)*Calculateur!V101*Calculateur!X101*VLOOKUP('Données projet'!$B$9,Paramètres!$A$1:$I$89,3,0)*0.475*44/12</f>
        <v>0.3659484416954113</v>
      </c>
      <c r="AB101" s="23">
        <f>EXP(-LN(2)/2)*AB100+(1-EXP(-LN(2)/2))/(LN(2)/2)*V101*Y101*VLOOKUP('Données projet'!$B$9,Paramètres!$A$1:$I$89,3,0)*0.475*44/12</f>
        <v>1.5000418483588083E-10</v>
      </c>
      <c r="AC101" s="24">
        <f t="shared" si="57"/>
        <v>1.6046127376973893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659.62793717304203</v>
      </c>
      <c r="AN101" s="62">
        <f ca="1">AVERAGE(OFFSET($AM$3,0,0,'Données projet'!$E$10+1,1))-AVERAGE(OFFSET($H$3,0,0,'Données projet'!$E$10+1,1))</f>
        <v>165.12229410621887</v>
      </c>
      <c r="AO101" s="62">
        <f t="shared" si="90"/>
        <v>148.17171564653341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55.340999999999916</v>
      </c>
      <c r="D102" s="12">
        <f t="shared" si="86"/>
        <v>15.984843779971341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550.58546075767288</v>
      </c>
      <c r="H102" s="70">
        <f t="shared" si="56"/>
        <v>417.55917791678326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215.01135052017145</v>
      </c>
      <c r="T102" s="62">
        <f t="shared" si="88"/>
        <v>136.68033570181791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1.2143748445209366</v>
      </c>
      <c r="AA102" s="23">
        <f>EXP(-LN(2)/25)*AA101+(1-EXP(-LN(2)/25))/(LN(2)/25)*Calculateur!V102*Calculateur!X102*VLOOKUP('Données projet'!$B$9,Paramètres!$A$1:$I$89,3,0)*0.475*44/12</f>
        <v>0.35594156231285812</v>
      </c>
      <c r="AB102" s="23">
        <f>EXP(-LN(2)/2)*AB101+(1-EXP(-LN(2)/2))/(LN(2)/2)*V102*Y102*VLOOKUP('Données projet'!$B$9,Paramètres!$A$1:$I$89,3,0)*0.475*44/12</f>
        <v>1.0606897630381162E-10</v>
      </c>
      <c r="AC102" s="24">
        <f t="shared" si="57"/>
        <v>1.5703164069398636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667.90881954332838</v>
      </c>
      <c r="AN102" s="62">
        <f ca="1">AVERAGE(OFFSET($AM$3,0,0,'Données projet'!$E$10+1,1))-AVERAGE(OFFSET($H$3,0,0,'Données projet'!$E$10+1,1))</f>
        <v>165.12229410621887</v>
      </c>
      <c r="AO102" s="62">
        <f t="shared" si="90"/>
        <v>148.17171564653341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55.899999999999913</v>
      </c>
      <c r="D103" s="12">
        <f t="shared" si="86"/>
        <v>16.127428988936046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556.00120623038276</v>
      </c>
      <c r="H103" s="70">
        <f t="shared" si="56"/>
        <v>418.78110548906341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215.01135052017145</v>
      </c>
      <c r="T103" s="62">
        <f t="shared" si="88"/>
        <v>136.68033570181791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1.1905616945153985</v>
      </c>
      <c r="AA103" s="23">
        <f>EXP(-LN(2)/25)*AA102+(1-EXP(-LN(2)/25))/(LN(2)/25)*Calculateur!V103*Calculateur!X103*VLOOKUP('Données projet'!$B$9,Paramètres!$A$1:$I$89,3,0)*0.475*44/12</f>
        <v>0.34620832157325976</v>
      </c>
      <c r="AB103" s="23">
        <f>EXP(-LN(2)/2)*AB102+(1-EXP(-LN(2)/2))/(LN(2)/2)*V103*Y103*VLOOKUP('Données projet'!$B$9,Paramètres!$A$1:$I$89,3,0)*0.475*44/12</f>
        <v>7.5002092417940415E-11</v>
      </c>
      <c r="AC103" s="24">
        <f t="shared" si="57"/>
        <v>1.5367700161636602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676.18571388442297</v>
      </c>
      <c r="AN103" s="62">
        <f ca="1">AVERAGE(OFFSET($AM$3,0,0,'Données projet'!$E$10+1,1))-AVERAGE(OFFSET($H$3,0,0,'Données projet'!$E$10+1,1))</f>
        <v>165.12229410621887</v>
      </c>
      <c r="AO103" s="62">
        <f t="shared" si="90"/>
        <v>148.17171564653341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56.458999999999911</v>
      </c>
      <c r="D104" s="12">
        <f t="shared" si="86"/>
        <v>16.269848322350242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561.41567126024688</v>
      </c>
      <c r="H104" s="70">
        <f t="shared" si="56"/>
        <v>420.00274416142651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215.01135052017145</v>
      </c>
      <c r="T104" s="62">
        <f t="shared" si="88"/>
        <v>136.68033570181791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1.1672155058568818</v>
      </c>
      <c r="AA104" s="23">
        <f>EXP(-LN(2)/25)*AA103+(1-EXP(-LN(2)/25))/(LN(2)/25)*Calculateur!V104*Calculateur!X104*VLOOKUP('Données projet'!$B$9,Paramètres!$A$1:$I$89,3,0)*0.475*44/12</f>
        <v>0.33674123681353463</v>
      </c>
      <c r="AB104" s="23">
        <f>EXP(-LN(2)/2)*AB103+(1-EXP(-LN(2)/2))/(LN(2)/2)*V104*Y104*VLOOKUP('Données projet'!$B$9,Paramètres!$A$1:$I$89,3,0)*0.475*44/12</f>
        <v>5.3034488151905809E-11</v>
      </c>
      <c r="AC104" s="24">
        <f t="shared" si="57"/>
        <v>1.5039567427234508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293.33333333333491</v>
      </c>
      <c r="AN104" s="62">
        <f ca="1">AVERAGE(OFFSET($AM$3,0,0,'Données projet'!$E$10+1,1))-AVERAGE(OFFSET($H$3,0,0,'Données projet'!$E$10+1,1))</f>
        <v>165.12229410621887</v>
      </c>
      <c r="AO104" s="62">
        <f t="shared" si="90"/>
        <v>148.17171564653341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57.017999999999908</v>
      </c>
      <c r="D105" s="12">
        <f t="shared" si="86"/>
        <v>16.412103612717605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566.82886999290713</v>
      </c>
      <c r="H105" s="70">
        <f t="shared" si="56"/>
        <v>421.22409712548301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215.01135052017145</v>
      </c>
      <c r="T105" s="62">
        <f t="shared" si="88"/>
        <v>136.68033570181791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1.1443271217181896</v>
      </c>
      <c r="AA105" s="23">
        <f>EXP(-LN(2)/25)*AA104+(1-EXP(-LN(2)/25))/(LN(2)/25)*Calculateur!V105*Calculateur!X105*VLOOKUP('Données projet'!$B$9,Paramètres!$A$1:$I$89,3,0)*0.475*44/12</f>
        <v>0.32753302998441652</v>
      </c>
      <c r="AB105" s="23">
        <f>EXP(-LN(2)/2)*AB104+(1-EXP(-LN(2)/2))/(LN(2)/2)*V105*Y105*VLOOKUP('Données projet'!$B$9,Paramètres!$A$1:$I$89,3,0)*0.475*44/12</f>
        <v>3.7501046208970208E-11</v>
      </c>
      <c r="AC105" s="24">
        <f t="shared" si="57"/>
        <v>1.4718601517401073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293.33333333333491</v>
      </c>
      <c r="AN105" s="62">
        <f ca="1">AVERAGE(OFFSET($AM$3,0,0,'Données projet'!$E$10+1,1))-AVERAGE(OFFSET($H$3,0,0,'Données projet'!$E$10+1,1))</f>
        <v>165.12229410621887</v>
      </c>
      <c r="AO105" s="62">
        <f t="shared" si="90"/>
        <v>148.17171564653341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57.576999999999906</v>
      </c>
      <c r="D106" s="12">
        <f t="shared" si="86"/>
        <v>16.554196654539041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572.24081628065153</v>
      </c>
      <c r="H106" s="70">
        <f t="shared" si="56"/>
        <v>422.44516750665525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215.01135052017145</v>
      </c>
      <c r="T106" s="62">
        <f t="shared" si="88"/>
        <v>136.68033570181791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1.1218875648319213</v>
      </c>
      <c r="AA106" s="23">
        <f>EXP(-LN(2)/25)*AA105+(1-EXP(-LN(2)/25))/(LN(2)/25)*Calculateur!V106*Calculateur!X106*VLOOKUP('Données projet'!$B$9,Paramètres!$A$1:$I$89,3,0)*0.475*44/12</f>
        <v>0.3185766220552792</v>
      </c>
      <c r="AB106" s="23">
        <f>EXP(-LN(2)/2)*AB105+(1-EXP(-LN(2)/2))/(LN(2)/2)*V106*Y106*VLOOKUP('Données projet'!$B$9,Paramètres!$A$1:$I$89,3,0)*0.475*44/12</f>
        <v>2.6517244075952905E-11</v>
      </c>
      <c r="AC106" s="24">
        <f t="shared" si="57"/>
        <v>1.4404641869137178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293.33333333333491</v>
      </c>
      <c r="AN106" s="62">
        <f ca="1">AVERAGE(OFFSET($AM$3,0,0,'Données projet'!$E$10+1,1))-AVERAGE(OFFSET($H$3,0,0,'Données projet'!$E$10+1,1))</f>
        <v>165.12229410621887</v>
      </c>
      <c r="AO106" s="62">
        <f t="shared" si="90"/>
        <v>148.17171564653341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58.135999999999903</v>
      </c>
      <c r="D107" s="12">
        <f t="shared" si="86"/>
        <v>16.696129205461904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577.65152369128418</v>
      </c>
      <c r="H107" s="70">
        <f t="shared" si="56"/>
        <v>423.66595836617932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215.01135052017145</v>
      </c>
      <c r="T107" s="62">
        <f t="shared" si="88"/>
        <v>136.68033570181791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1.0998880339694144</v>
      </c>
      <c r="AA107" s="23">
        <f>EXP(-LN(2)/25)*AA106+(1-EXP(-LN(2)/25))/(LN(2)/25)*Calculateur!V107*Calculateur!X107*VLOOKUP('Données projet'!$B$9,Paramètres!$A$1:$I$89,3,0)*0.475*44/12</f>
        <v>0.30986512757196116</v>
      </c>
      <c r="AB107" s="23">
        <f>EXP(-LN(2)/2)*AB106+(1-EXP(-LN(2)/2))/(LN(2)/2)*V107*Y107*VLOOKUP('Données projet'!$B$9,Paramètres!$A$1:$I$89,3,0)*0.475*44/12</f>
        <v>1.8750523104485104E-11</v>
      </c>
      <c r="AC107" s="24">
        <f t="shared" si="57"/>
        <v>1.4097531615601262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293.33333333333491</v>
      </c>
      <c r="AN107" s="62">
        <f ca="1">AVERAGE(OFFSET($AM$3,0,0,'Données projet'!$E$10+1,1))-AVERAGE(OFFSET($H$3,0,0,'Données projet'!$E$10+1,1))</f>
        <v>165.12229410621887</v>
      </c>
      <c r="AO107" s="62">
        <f t="shared" si="90"/>
        <v>148.17171564653341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58.694999999999901</v>
      </c>
      <c r="D108" s="12">
        <f t="shared" si="86"/>
        <v>16.837902987383803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583.06100551664622</v>
      </c>
      <c r="H108" s="70">
        <f t="shared" si="56"/>
        <v>424.88647270302658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215.01135052017145</v>
      </c>
      <c r="T108" s="62">
        <f t="shared" si="88"/>
        <v>136.68033570181791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1.0783199004887325</v>
      </c>
      <c r="AA108" s="23">
        <f>EXP(-LN(2)/25)*AA107+(1-EXP(-LN(2)/25))/(LN(2)/25)*Calculateur!V108*Calculateur!X108*VLOOKUP('Données projet'!$B$9,Paramètres!$A$1:$I$89,3,0)*0.475*44/12</f>
        <v>0.30139184936340702</v>
      </c>
      <c r="AB108" s="23">
        <f>EXP(-LN(2)/2)*AB107+(1-EXP(-LN(2)/2))/(LN(2)/2)*V108*Y108*VLOOKUP('Données projet'!$B$9,Paramètres!$A$1:$I$89,3,0)*0.475*44/12</f>
        <v>1.3258622037976452E-11</v>
      </c>
      <c r="AC108" s="24">
        <f t="shared" si="57"/>
        <v>1.3797117498653981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293.33333333333491</v>
      </c>
      <c r="AN108" s="62">
        <f ca="1">AVERAGE(OFFSET($AM$3,0,0,'Données projet'!$E$10+1,1))-AVERAGE(OFFSET($H$3,0,0,'Données projet'!$E$10+1,1))</f>
        <v>165.12229410621887</v>
      </c>
      <c r="AO108" s="62">
        <f t="shared" si="90"/>
        <v>148.17171564653341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59.253999999999898</v>
      </c>
      <c r="D109" s="12">
        <f t="shared" si="86"/>
        <v>16.97951968751314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588.46927478080249</v>
      </c>
      <c r="H109" s="70">
        <f t="shared" si="56"/>
        <v>426.10671345575184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215.01135052017145</v>
      </c>
      <c r="T109" s="62">
        <f t="shared" si="88"/>
        <v>136.68033570181791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1.0571747049503442</v>
      </c>
      <c r="AA109" s="23">
        <f>EXP(-LN(2)/25)*AA108+(1-EXP(-LN(2)/25))/(LN(2)/25)*Calculateur!V109*Calculateur!X109*VLOOKUP('Données projet'!$B$9,Paramètres!$A$1:$I$89,3,0)*0.475*44/12</f>
        <v>0.29315027339305616</v>
      </c>
      <c r="AB109" s="23">
        <f>EXP(-LN(2)/2)*AB108+(1-EXP(-LN(2)/2))/(LN(2)/2)*V109*Y109*VLOOKUP('Données projet'!$B$9,Paramètres!$A$1:$I$89,3,0)*0.475*44/12</f>
        <v>9.3752615522425519E-12</v>
      </c>
      <c r="AC109" s="24">
        <f t="shared" si="57"/>
        <v>1.3503249783527755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293.33333333333491</v>
      </c>
      <c r="AN109" s="62">
        <f ca="1">AVERAGE(OFFSET($AM$3,0,0,'Données projet'!$E$10+1,1))-AVERAGE(OFFSET($H$3,0,0,'Données projet'!$E$10+1,1))</f>
        <v>165.12229410621887</v>
      </c>
      <c r="AO109" s="62">
        <f t="shared" si="90"/>
        <v>148.17171564653341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59.812999999999896</v>
      </c>
      <c r="D110" s="12">
        <f t="shared" si="86"/>
        <v>17.12098095938844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593.87634424790997</v>
      </c>
      <c r="H110" s="70">
        <f t="shared" si="56"/>
        <v>427.32668350426798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215.01135052017145</v>
      </c>
      <c r="T110" s="62">
        <f t="shared" si="88"/>
        <v>136.68033570181791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1.036444153799168</v>
      </c>
      <c r="AA110" s="23">
        <f>EXP(-LN(2)/25)*AA109+(1-EXP(-LN(2)/25))/(LN(2)/25)*Calculateur!V110*Calculateur!X110*VLOOKUP('Données projet'!$B$9,Paramètres!$A$1:$I$89,3,0)*0.475*44/12</f>
        <v>0.28513406375102018</v>
      </c>
      <c r="AB110" s="23">
        <f>EXP(-LN(2)/2)*AB109+(1-EXP(-LN(2)/2))/(LN(2)/2)*V110*Y110*VLOOKUP('Données projet'!$B$9,Paramètres!$A$1:$I$89,3,0)*0.475*44/12</f>
        <v>6.6293110189882261E-12</v>
      </c>
      <c r="AC110" s="24">
        <f t="shared" si="57"/>
        <v>1.3215782175568176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293.33333333333491</v>
      </c>
      <c r="AN110" s="62">
        <f ca="1">AVERAGE(OFFSET($AM$3,0,0,'Données projet'!$E$10+1,1))-AVERAGE(OFFSET($H$3,0,0,'Données projet'!$E$10+1,1))</f>
        <v>165.12229410621887</v>
      </c>
      <c r="AO110" s="62">
        <f t="shared" si="90"/>
        <v>148.17171564653341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60.371999999999893</v>
      </c>
      <c r="D111" s="12">
        <f t="shared" si="86"/>
        <v>17.26228842385855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599.28222642978437</v>
      </c>
      <c r="H111" s="70">
        <f t="shared" si="56"/>
        <v>428.54638567155342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215.01135052017145</v>
      </c>
      <c r="T111" s="62">
        <f t="shared" si="88"/>
        <v>136.68033570181791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1.0161201161116786</v>
      </c>
      <c r="AA111" s="23">
        <f>EXP(-LN(2)/25)*AA110+(1-EXP(-LN(2)/25))/(LN(2)/25)*Calculateur!V111*Calculateur!X111*VLOOKUP('Données projet'!$B$9,Paramètres!$A$1:$I$89,3,0)*0.475*44/12</f>
        <v>0.27733705778319978</v>
      </c>
      <c r="AB111" s="23">
        <f>EXP(-LN(2)/2)*AB110+(1-EXP(-LN(2)/2))/(LN(2)/2)*V111*Y111*VLOOKUP('Données projet'!$B$9,Paramètres!$A$1:$I$89,3,0)*0.475*44/12</f>
        <v>4.687630776121276E-12</v>
      </c>
      <c r="AC111" s="24">
        <f t="shared" si="57"/>
        <v>1.2934571738995659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293.33333333333491</v>
      </c>
      <c r="AN111" s="62">
        <f ca="1">AVERAGE(OFFSET($AM$3,0,0,'Données projet'!$E$10+1,1))-AVERAGE(OFFSET($H$3,0,0,'Données projet'!$E$10+1,1))</f>
        <v>165.12229410621887</v>
      </c>
      <c r="AO111" s="62">
        <f t="shared" si="90"/>
        <v>148.17171564653341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60.930999999999891</v>
      </c>
      <c r="D112" s="12">
        <f t="shared" si="86"/>
        <v>17.403443670025414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604.68693359317786</v>
      </c>
      <c r="H112" s="70">
        <f t="shared" si="56"/>
        <v>429.76582272529407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215.01135052017145</v>
      </c>
      <c r="T112" s="62">
        <f t="shared" si="88"/>
        <v>136.68033570181791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0.99619462040680207</v>
      </c>
      <c r="AA112" s="23">
        <f>EXP(-LN(2)/25)*AA111+(1-EXP(-LN(2)/25))/(LN(2)/25)*Calculateur!V112*Calculateur!X112*VLOOKUP('Données projet'!$B$9,Paramètres!$A$1:$I$89,3,0)*0.475*44/12</f>
        <v>0.26975326135359617</v>
      </c>
      <c r="AB112" s="23">
        <f>EXP(-LN(2)/2)*AB111+(1-EXP(-LN(2)/2))/(LN(2)/2)*V112*Y112*VLOOKUP('Données projet'!$B$9,Paramètres!$A$1:$I$89,3,0)*0.475*44/12</f>
        <v>3.3146555094941131E-12</v>
      </c>
      <c r="AC112" s="24">
        <f t="shared" si="57"/>
        <v>1.2659478817637129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293.33333333333491</v>
      </c>
      <c r="AN112" s="62">
        <f ca="1">AVERAGE(OFFSET($AM$3,0,0,'Données projet'!$E$10+1,1))-AVERAGE(OFFSET($H$3,0,0,'Données projet'!$E$10+1,1))</f>
        <v>165.12229410621887</v>
      </c>
      <c r="AO112" s="62">
        <f t="shared" si="90"/>
        <v>148.17171564653341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61.489999999999888</v>
      </c>
      <c r="D113" s="12">
        <f t="shared" si="86"/>
        <v>17.544448256151377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610.09047776678176</v>
      </c>
      <c r="H113" s="70">
        <f t="shared" si="56"/>
        <v>430.98499737946338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215.01135052017145</v>
      </c>
      <c r="T113" s="62">
        <f t="shared" si="88"/>
        <v>136.68033570181791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0.97665985151934576</v>
      </c>
      <c r="AA113" s="23">
        <f>EXP(-LN(2)/25)*AA112+(1-EXP(-LN(2)/25))/(LN(2)/25)*Calculateur!V113*Calculateur!X113*VLOOKUP('Données projet'!$B$9,Paramètres!$A$1:$I$89,3,0)*0.475*44/12</f>
        <v>0.26237684423617458</v>
      </c>
      <c r="AB113" s="23">
        <f>EXP(-LN(2)/2)*AB112+(1-EXP(-LN(2)/2))/(LN(2)/2)*V113*Y113*VLOOKUP('Données projet'!$B$9,Paramètres!$A$1:$I$89,3,0)*0.475*44/12</f>
        <v>2.343815388060638E-12</v>
      </c>
      <c r="AC113" s="24">
        <f t="shared" si="57"/>
        <v>1.2390366957578642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293.33333333333491</v>
      </c>
      <c r="AN113" s="62">
        <f ca="1">AVERAGE(OFFSET($AM$3,0,0,'Données projet'!$E$10+1,1))-AVERAGE(OFFSET($H$3,0,0,'Données projet'!$E$10+1,1))</f>
        <v>165.12229410621887</v>
      </c>
      <c r="AO113" s="62">
        <f t="shared" si="90"/>
        <v>148.17171564653341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62.048999999999886</v>
      </c>
      <c r="D114" s="12">
        <f t="shared" si="86"/>
        <v>17.685303710532441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615.49287074796894</v>
      </c>
      <c r="H114" s="70">
        <f t="shared" si="56"/>
        <v>432.20391229584379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215.01135052017145</v>
      </c>
      <c r="T114" s="62">
        <f t="shared" si="88"/>
        <v>136.68033570181791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0.95750814753474001</v>
      </c>
      <c r="AA114" s="23">
        <f>EXP(-LN(2)/25)*AA113+(1-EXP(-LN(2)/25))/(LN(2)/25)*Calculateur!V114*Calculateur!X114*VLOOKUP('Données projet'!$B$9,Paramètres!$A$1:$I$89,3,0)*0.475*44/12</f>
        <v>0.2552021356327378</v>
      </c>
      <c r="AB114" s="23">
        <f>EXP(-LN(2)/2)*AB113+(1-EXP(-LN(2)/2))/(LN(2)/2)*V114*Y114*VLOOKUP('Données projet'!$B$9,Paramètres!$A$1:$I$89,3,0)*0.475*44/12</f>
        <v>1.6573277547470565E-12</v>
      </c>
      <c r="AC114" s="24">
        <f t="shared" si="57"/>
        <v>1.2127102831691352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293.33333333333491</v>
      </c>
      <c r="AN114" s="62">
        <f ca="1">AVERAGE(OFFSET($AM$3,0,0,'Données projet'!$E$10+1,1))-AVERAGE(OFFSET($H$3,0,0,'Données projet'!$E$10+1,1))</f>
        <v>165.12229410621887</v>
      </c>
      <c r="AO114" s="62">
        <f t="shared" si="90"/>
        <v>148.17171564653341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62.607999999999883</v>
      </c>
      <c r="D115" s="12">
        <f t="shared" si="86"/>
        <v>17.826011532339194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620.89412410928401</v>
      </c>
      <c r="H115" s="70">
        <f t="shared" si="56"/>
        <v>433.42257008549052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215.01135052017145</v>
      </c>
      <c r="T115" s="62">
        <f t="shared" si="88"/>
        <v>136.68033570181791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0.9387319967838863</v>
      </c>
      <c r="AA115" s="23">
        <f>EXP(-LN(2)/25)*AA114+(1-EXP(-LN(2)/25))/(LN(2)/25)*Calculateur!V115*Calculateur!X115*VLOOKUP('Données projet'!$B$9,Paramètres!$A$1:$I$89,3,0)*0.475*44/12</f>
        <v>0.24822361981336355</v>
      </c>
      <c r="AB115" s="23">
        <f>EXP(-LN(2)/2)*AB114+(1-EXP(-LN(2)/2))/(LN(2)/2)*V115*Y115*VLOOKUP('Données projet'!$B$9,Paramètres!$A$1:$I$89,3,0)*0.475*44/12</f>
        <v>1.171907694030319E-12</v>
      </c>
      <c r="AC115" s="24">
        <f t="shared" si="57"/>
        <v>1.1869556165984219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293.33333333333491</v>
      </c>
      <c r="AN115" s="62">
        <f ca="1">AVERAGE(OFFSET($AM$3,0,0,'Données projet'!$E$10+1,1))-AVERAGE(OFFSET($H$3,0,0,'Données projet'!$E$10+1,1))</f>
        <v>165.12229410621887</v>
      </c>
      <c r="AO115" s="62">
        <f t="shared" si="90"/>
        <v>148.17171564653341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63.166999999999881</v>
      </c>
      <c r="D116" s="12">
        <f t="shared" si="86"/>
        <v>17.966573192426846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626.29424920469751</v>
      </c>
      <c r="H116" s="70">
        <f t="shared" si="56"/>
        <v>434.64097331014318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215.01135052017145</v>
      </c>
      <c r="T116" s="62">
        <f t="shared" si="88"/>
        <v>136.68033570181791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0.92032403489693571</v>
      </c>
      <c r="AA116" s="23">
        <f>EXP(-LN(2)/25)*AA115+(1-EXP(-LN(2)/25))/(LN(2)/25)*Calculateur!V116*Calculateur!X116*VLOOKUP('Données projet'!$B$9,Paramètres!$A$1:$I$89,3,0)*0.475*44/12</f>
        <v>0.24143593187605428</v>
      </c>
      <c r="AB116" s="23">
        <f>EXP(-LN(2)/2)*AB115+(1-EXP(-LN(2)/2))/(LN(2)/2)*V116*Y116*VLOOKUP('Données projet'!$B$9,Paramètres!$A$1:$I$89,3,0)*0.475*44/12</f>
        <v>8.2866387737352827E-13</v>
      </c>
      <c r="AC116" s="24">
        <f t="shared" si="57"/>
        <v>1.1617599667738188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293.33333333333491</v>
      </c>
      <c r="AN116" s="62">
        <f ca="1">AVERAGE(OFFSET($AM$3,0,0,'Données projet'!$E$10+1,1))-AVERAGE(OFFSET($H$3,0,0,'Données projet'!$E$10+1,1))</f>
        <v>165.12229410621887</v>
      </c>
      <c r="AO116" s="62">
        <f t="shared" si="90"/>
        <v>148.17171564653341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63.725999999999878</v>
      </c>
      <c r="D117" s="12">
        <f t="shared" si="86"/>
        <v>18.106990134115801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631.69325717562981</v>
      </c>
      <c r="H117" s="70">
        <f t="shared" si="56"/>
        <v>435.85912448358476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215.01135052017145</v>
      </c>
      <c r="T117" s="62">
        <f t="shared" si="88"/>
        <v>136.68033570181791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0.90227704191484015</v>
      </c>
      <c r="AA117" s="23">
        <f>EXP(-LN(2)/25)*AA116+(1-EXP(-LN(2)/25))/(LN(2)/25)*Calculateur!V117*Calculateur!X117*VLOOKUP('Données projet'!$B$9,Paramètres!$A$1:$I$89,3,0)*0.475*44/12</f>
        <v>0.23483385362233972</v>
      </c>
      <c r="AB117" s="23">
        <f>EXP(-LN(2)/2)*AB116+(1-EXP(-LN(2)/2))/(LN(2)/2)*V117*Y117*VLOOKUP('Données projet'!$B$9,Paramètres!$A$1:$I$89,3,0)*0.475*44/12</f>
        <v>5.859538470151595E-13</v>
      </c>
      <c r="AC117" s="24">
        <f t="shared" si="57"/>
        <v>1.1371108955377658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293.33333333333491</v>
      </c>
      <c r="AN117" s="62">
        <f ca="1">AVERAGE(OFFSET($AM$3,0,0,'Données projet'!$E$10+1,1))-AVERAGE(OFFSET($H$3,0,0,'Données projet'!$E$10+1,1))</f>
        <v>165.12229410621887</v>
      </c>
      <c r="AO117" s="62">
        <f t="shared" si="90"/>
        <v>148.17171564653341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64.284999999999883</v>
      </c>
      <c r="D118" s="12">
        <f t="shared" si="86"/>
        <v>18.247263773943999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637.09115895675984</v>
      </c>
      <c r="H118" s="70">
        <f t="shared" si="56"/>
        <v>437.07702607295221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215.01135052017145</v>
      </c>
      <c r="T118" s="62">
        <f t="shared" si="88"/>
        <v>136.68033570181791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0.88458393945754465</v>
      </c>
      <c r="AA118" s="23">
        <f>EXP(-LN(2)/25)*AA117+(1-EXP(-LN(2)/25))/(LN(2)/25)*Calculateur!V118*Calculateur!X118*VLOOKUP('Données projet'!$B$9,Paramètres!$A$1:$I$89,3,0)*0.475*44/12</f>
        <v>0.22841230954566119</v>
      </c>
      <c r="AB118" s="23">
        <f>EXP(-LN(2)/2)*AB117+(1-EXP(-LN(2)/2))/(LN(2)/2)*V118*Y118*VLOOKUP('Données projet'!$B$9,Paramètres!$A$1:$I$89,3,0)*0.475*44/12</f>
        <v>4.1433193868676413E-13</v>
      </c>
      <c r="AC118" s="24">
        <f t="shared" si="57"/>
        <v>1.1129962490036203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293.33333333333491</v>
      </c>
      <c r="AN118" s="62">
        <f ca="1">AVERAGE(OFFSET($AM$3,0,0,'Données projet'!$E$10+1,1))-AVERAGE(OFFSET($H$3,0,0,'Données projet'!$E$10+1,1))</f>
        <v>165.12229410621887</v>
      </c>
      <c r="AO118" s="62">
        <f t="shared" si="90"/>
        <v>148.17171564653341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64.84399999999988</v>
      </c>
      <c r="D119" s="12">
        <f t="shared" si="86"/>
        <v>18.387395502392327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642.48796528162404</v>
      </c>
      <c r="H119" s="70">
        <f t="shared" si="56"/>
        <v>438.29468049999969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215.01135052017145</v>
      </c>
      <c r="T119" s="62">
        <f t="shared" si="88"/>
        <v>136.68033570181791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0.86723778794770978</v>
      </c>
      <c r="AA119" s="23">
        <f>EXP(-LN(2)/25)*AA118+(1-EXP(-LN(2)/25))/(LN(2)/25)*Calculateur!V119*Calculateur!X119*VLOOKUP('Données projet'!$B$9,Paramètres!$A$1:$I$89,3,0)*0.475*44/12</f>
        <v>0.22216636292945377</v>
      </c>
      <c r="AB119" s="23">
        <f>EXP(-LN(2)/2)*AB118+(1-EXP(-LN(2)/2))/(LN(2)/2)*V119*Y119*VLOOKUP('Données projet'!$B$9,Paramètres!$A$1:$I$89,3,0)*0.475*44/12</f>
        <v>2.9297692350757975E-13</v>
      </c>
      <c r="AC119" s="24">
        <f t="shared" si="57"/>
        <v>1.0894041508774563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293.33333333333491</v>
      </c>
      <c r="AN119" s="62">
        <f ca="1">AVERAGE(OFFSET($AM$3,0,0,'Données projet'!$E$10+1,1))-AVERAGE(OFFSET($H$3,0,0,'Données projet'!$E$10+1,1))</f>
        <v>165.12229410621887</v>
      </c>
      <c r="AO119" s="62">
        <f t="shared" si="90"/>
        <v>148.17171564653341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65.402999999999878</v>
      </c>
      <c r="D120" s="12">
        <f t="shared" si="86"/>
        <v>18.527386684584421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647.88368668801934</v>
      </c>
      <c r="H120" s="70">
        <f t="shared" si="56"/>
        <v>439.51209014231767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215.01135052017145</v>
      </c>
      <c r="T120" s="62">
        <f t="shared" si="88"/>
        <v>136.68033570181791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0.8502317838888751</v>
      </c>
      <c r="AA120" s="23">
        <f>EXP(-LN(2)/25)*AA119+(1-EXP(-LN(2)/25))/(LN(2)/25)*Calculateur!V120*Calculateur!X120*VLOOKUP('Données projet'!$B$9,Paramètres!$A$1:$I$89,3,0)*0.475*44/12</f>
        <v>0.21609121205192661</v>
      </c>
      <c r="AB120" s="23">
        <f>EXP(-LN(2)/2)*AB119+(1-EXP(-LN(2)/2))/(LN(2)/2)*V120*Y120*VLOOKUP('Données projet'!$B$9,Paramètres!$A$1:$I$89,3,0)*0.475*44/12</f>
        <v>2.0716596934338207E-13</v>
      </c>
      <c r="AC120" s="24">
        <f t="shared" si="57"/>
        <v>1.066322995941009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293.33333333333491</v>
      </c>
      <c r="AN120" s="62">
        <f ca="1">AVERAGE(OFFSET($AM$3,0,0,'Données projet'!$E$10+1,1))-AVERAGE(OFFSET($H$3,0,0,'Données projet'!$E$10+1,1))</f>
        <v>165.12229410621887</v>
      </c>
      <c r="AO120" s="62">
        <f t="shared" si="90"/>
        <v>148.17171564653341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65.961999999999875</v>
      </c>
      <c r="D121" s="12">
        <f t="shared" si="86"/>
        <v>18.667238660961754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653.27833352321261</v>
      </c>
      <c r="H121" s="70">
        <f t="shared" si="56"/>
        <v>440.72925733450813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215.01135052017145</v>
      </c>
      <c r="T121" s="62">
        <f t="shared" si="88"/>
        <v>136.68033570181791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0.83355925719699586</v>
      </c>
      <c r="AA121" s="23">
        <f>EXP(-LN(2)/25)*AA120+(1-EXP(-LN(2)/25))/(LN(2)/25)*Calculateur!V121*Calculateur!X121*VLOOKUP('Données projet'!$B$9,Paramètres!$A$1:$I$89,3,0)*0.475*44/12</f>
        <v>0.21018218649462372</v>
      </c>
      <c r="AB121" s="23">
        <f>EXP(-LN(2)/2)*AB120+(1-EXP(-LN(2)/2))/(LN(2)/2)*V121*Y121*VLOOKUP('Données projet'!$B$9,Paramètres!$A$1:$I$89,3,0)*0.475*44/12</f>
        <v>1.4648846175378987E-13</v>
      </c>
      <c r="AC121" s="24">
        <f t="shared" si="57"/>
        <v>1.0437414436917662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293.33333333333491</v>
      </c>
      <c r="AN121" s="62">
        <f ca="1">AVERAGE(OFFSET($AM$3,0,0,'Données projet'!$E$10+1,1))-AVERAGE(OFFSET($H$3,0,0,'Données projet'!$E$10+1,1))</f>
        <v>165.12229410621887</v>
      </c>
      <c r="AO121" s="62">
        <f t="shared" si="90"/>
        <v>148.17171564653341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66.520999999999873</v>
      </c>
      <c r="D122" s="12">
        <f t="shared" si="86"/>
        <v>18.806952747935146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658.67191594897213</v>
      </c>
      <c r="H122" s="70">
        <f t="shared" si="56"/>
        <v>441.94618436932012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215.01135052017145</v>
      </c>
      <c r="T122" s="62">
        <f t="shared" si="88"/>
        <v>136.68033570181791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0.81721366858430722</v>
      </c>
      <c r="AA122" s="23">
        <f>EXP(-LN(2)/25)*AA121+(1-EXP(-LN(2)/25))/(LN(2)/25)*Calculateur!V122*Calculateur!X122*VLOOKUP('Données projet'!$B$9,Paramètres!$A$1:$I$89,3,0)*0.475*44/12</f>
        <v>0.20443474355192742</v>
      </c>
      <c r="AB122" s="23">
        <f>EXP(-LN(2)/2)*AB121+(1-EXP(-LN(2)/2))/(LN(2)/2)*V122*Y122*VLOOKUP('Données projet'!$B$9,Paramètres!$A$1:$I$89,3,0)*0.475*44/12</f>
        <v>1.0358298467169103E-13</v>
      </c>
      <c r="AC122" s="24">
        <f t="shared" si="57"/>
        <v>1.0216484121363381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293.33333333333491</v>
      </c>
      <c r="AN122" s="62">
        <f ca="1">AVERAGE(OFFSET($AM$3,0,0,'Données projet'!$E$10+1,1))-AVERAGE(OFFSET($H$3,0,0,'Données projet'!$E$10+1,1))</f>
        <v>165.12229410621887</v>
      </c>
      <c r="AO122" s="62">
        <f t="shared" si="90"/>
        <v>148.17171564653341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67.07999999999987</v>
      </c>
      <c r="D123" s="12">
        <f t="shared" si="86"/>
        <v>18.946530238513862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664.06444394642187</v>
      </c>
      <c r="H123" s="70">
        <f t="shared" si="56"/>
        <v>443.16287349874472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215.01135052017145</v>
      </c>
      <c r="T123" s="62">
        <f t="shared" si="88"/>
        <v>136.68033570181791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0.80118860699448879</v>
      </c>
      <c r="AA123" s="23">
        <f>EXP(-LN(2)/25)*AA122+(1-EXP(-LN(2)/25))/(LN(2)/25)*Calculateur!V123*Calculateur!X123*VLOOKUP('Données projet'!$B$9,Paramètres!$A$1:$I$89,3,0)*0.475*44/12</f>
        <v>0.19884446473874404</v>
      </c>
      <c r="AB123" s="23">
        <f>EXP(-LN(2)/2)*AB122+(1-EXP(-LN(2)/2))/(LN(2)/2)*V123*Y123*VLOOKUP('Données projet'!$B$9,Paramètres!$A$1:$I$89,3,0)*0.475*44/12</f>
        <v>7.3244230876894937E-14</v>
      </c>
      <c r="AC123" s="24">
        <f t="shared" si="57"/>
        <v>1.0000330717333061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293.33333333333491</v>
      </c>
      <c r="AN123" s="62">
        <f ca="1">AVERAGE(OFFSET($AM$3,0,0,'Données projet'!$E$10+1,1))-AVERAGE(OFFSET($H$3,0,0,'Données projet'!$E$10+1,1))</f>
        <v>165.12229410621887</v>
      </c>
      <c r="AO123" s="62">
        <f t="shared" si="90"/>
        <v>148.17171564653341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67.638999999999868</v>
      </c>
      <c r="D124" s="12">
        <f t="shared" si="86"/>
        <v>19.085972402913047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669.45592732073135</v>
      </c>
      <c r="H124" s="70">
        <f t="shared" si="56"/>
        <v>444.37932693507332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215.01135052017145</v>
      </c>
      <c r="T124" s="62">
        <f t="shared" si="88"/>
        <v>136.68033570181791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0.78547778708812432</v>
      </c>
      <c r="AA124" s="23">
        <f>EXP(-LN(2)/25)*AA123+(1-EXP(-LN(2)/25))/(LN(2)/25)*Calculateur!V124*Calculateur!X124*VLOOKUP('Données projet'!$B$9,Paramètres!$A$1:$I$89,3,0)*0.475*44/12</f>
        <v>0.19340705239368713</v>
      </c>
      <c r="AB124" s="23">
        <f>EXP(-LN(2)/2)*AB123+(1-EXP(-LN(2)/2))/(LN(2)/2)*V124*Y124*VLOOKUP('Données projet'!$B$9,Paramètres!$A$1:$I$89,3,0)*0.475*44/12</f>
        <v>5.1791492335845517E-14</v>
      </c>
      <c r="AC124" s="24">
        <f t="shared" si="57"/>
        <v>0.97888483948186322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293.33333333333491</v>
      </c>
      <c r="AN124" s="62">
        <f ca="1">AVERAGE(OFFSET($AM$3,0,0,'Données projet'!$E$10+1,1))-AVERAGE(OFFSET($H$3,0,0,'Données projet'!$E$10+1,1))</f>
        <v>165.12229410621887</v>
      </c>
      <c r="AO124" s="62">
        <f t="shared" si="90"/>
        <v>148.17171564653341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68.197999999999865</v>
      </c>
      <c r="D125" s="12">
        <f t="shared" si="86"/>
        <v>19.225280489140612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674.84637570564576</v>
      </c>
      <c r="H125" s="70">
        <f t="shared" si="56"/>
        <v>445.59554685191961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215.01135052017145</v>
      </c>
      <c r="T125" s="62">
        <f t="shared" si="88"/>
        <v>136.68033570181791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0.77007504677746974</v>
      </c>
      <c r="AA125" s="23">
        <f>EXP(-LN(2)/25)*AA124+(1-EXP(-LN(2)/25))/(LN(2)/25)*Calculateur!V125*Calculateur!X125*VLOOKUP('Données projet'!$B$9,Paramètres!$A$1:$I$89,3,0)*0.475*44/12</f>
        <v>0.18811832637514692</v>
      </c>
      <c r="AB125" s="23">
        <f>EXP(-LN(2)/2)*AB124+(1-EXP(-LN(2)/2))/(LN(2)/2)*V125*Y125*VLOOKUP('Données projet'!$B$9,Paramètres!$A$1:$I$89,3,0)*0.475*44/12</f>
        <v>3.6622115438447468E-14</v>
      </c>
      <c r="AC125" s="24">
        <f t="shared" si="57"/>
        <v>0.95819337315265329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293.33333333333491</v>
      </c>
      <c r="AN125" s="62">
        <f ca="1">AVERAGE(OFFSET($AM$3,0,0,'Données projet'!$E$10+1,1))-AVERAGE(OFFSET($H$3,0,0,'Données projet'!$E$10+1,1))</f>
        <v>165.12229410621887</v>
      </c>
      <c r="AO125" s="62">
        <f t="shared" si="90"/>
        <v>148.17171564653341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68.756999999999863</v>
      </c>
      <c r="D126" s="12">
        <f t="shared" si="86"/>
        <v>19.364455723564159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680.23579856786262</v>
      </c>
      <c r="H126" s="70">
        <f t="shared" si="56"/>
        <v>446.81153538520732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215.01135052017145</v>
      </c>
      <c r="T126" s="62">
        <f t="shared" si="88"/>
        <v>136.68033570181791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0.75497434480956316</v>
      </c>
      <c r="AA126" s="23">
        <f>EXP(-LN(2)/25)*AA125+(1-EXP(-LN(2)/25))/(LN(2)/25)*Calculateur!V126*Calculateur!X126*VLOOKUP('Données projet'!$B$9,Paramètres!$A$1:$I$89,3,0)*0.475*44/12</f>
        <v>0.18297422084770568</v>
      </c>
      <c r="AB126" s="23">
        <f>EXP(-LN(2)/2)*AB125+(1-EXP(-LN(2)/2))/(LN(2)/2)*V126*Y126*VLOOKUP('Données projet'!$B$9,Paramètres!$A$1:$I$89,3,0)*0.475*44/12</f>
        <v>2.5895746167922758E-14</v>
      </c>
      <c r="AC126" s="24">
        <f t="shared" si="57"/>
        <v>0.93794856565729468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293.33333333333491</v>
      </c>
      <c r="AN126" s="62">
        <f ca="1">AVERAGE(OFFSET($AM$3,0,0,'Données projet'!$E$10+1,1))-AVERAGE(OFFSET($H$3,0,0,'Données projet'!$E$10+1,1))</f>
        <v>165.12229410621887</v>
      </c>
      <c r="AO126" s="62">
        <f t="shared" si="90"/>
        <v>148.17171564653341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69.31599999999986</v>
      </c>
      <c r="D127" s="12">
        <f t="shared" si="86"/>
        <v>19.503499311459102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685.62420521126216</v>
      </c>
      <c r="H127" s="70">
        <f t="shared" si="56"/>
        <v>448.02729463412436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215.01135052017145</v>
      </c>
      <c r="T127" s="62">
        <f t="shared" si="88"/>
        <v>136.68033570181791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0.74016975839672849</v>
      </c>
      <c r="AA127" s="23">
        <f>EXP(-LN(2)/25)*AA126+(1-EXP(-LN(2)/25))/(LN(2)/25)*Calculateur!V127*Calculateur!X127*VLOOKUP('Données projet'!$B$9,Paramètres!$A$1:$I$89,3,0)*0.475*44/12</f>
        <v>0.17797078115642909</v>
      </c>
      <c r="AB127" s="23">
        <f>EXP(-LN(2)/2)*AB126+(1-EXP(-LN(2)/2))/(LN(2)/2)*V127*Y127*VLOOKUP('Données projet'!$B$9,Paramètres!$A$1:$I$89,3,0)*0.475*44/12</f>
        <v>1.8311057719223734E-14</v>
      </c>
      <c r="AC127" s="24">
        <f t="shared" si="57"/>
        <v>0.91814053955317587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293.33333333333491</v>
      </c>
      <c r="AN127" s="62">
        <f ca="1">AVERAGE(OFFSET($AM$3,0,0,'Données projet'!$E$10+1,1))-AVERAGE(OFFSET($H$3,0,0,'Données projet'!$E$10+1,1))</f>
        <v>165.12229410621887</v>
      </c>
      <c r="AO127" s="62">
        <f t="shared" si="90"/>
        <v>148.17171564653341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69.874999999999858</v>
      </c>
      <c r="D128" s="12">
        <f t="shared" si="86"/>
        <v>19.642412437538525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691.01160478099803</v>
      </c>
      <c r="H128" s="70">
        <f t="shared" si="56"/>
        <v>449.24282666204601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215.01135052017145</v>
      </c>
      <c r="T128" s="62">
        <f t="shared" si="88"/>
        <v>136.68033570181791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0.72565548089354337</v>
      </c>
      <c r="AA128" s="23">
        <f>EXP(-LN(2)/25)*AA127+(1-EXP(-LN(2)/25))/(LN(2)/25)*Calculateur!V128*Calculateur!X128*VLOOKUP('Données projet'!$B$9,Paramètres!$A$1:$I$89,3,0)*0.475*44/12</f>
        <v>0.17310416078662991</v>
      </c>
      <c r="AB128" s="23">
        <f>EXP(-LN(2)/2)*AB127+(1-EXP(-LN(2)/2))/(LN(2)/2)*V128*Y128*VLOOKUP('Données projet'!$B$9,Paramètres!$A$1:$I$89,3,0)*0.475*44/12</f>
        <v>1.2947873083961379E-14</v>
      </c>
      <c r="AC128" s="24">
        <f t="shared" si="57"/>
        <v>0.89875964168018629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293.33333333333491</v>
      </c>
      <c r="AN128" s="62">
        <f ca="1">AVERAGE(OFFSET($AM$3,0,0,'Données projet'!$E$10+1,1))-AVERAGE(OFFSET($H$3,0,0,'Données projet'!$E$10+1,1))</f>
        <v>165.12229410621887</v>
      </c>
      <c r="AO128" s="62">
        <f t="shared" si="90"/>
        <v>148.17171564653341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70.433999999999855</v>
      </c>
      <c r="D129" s="12">
        <f t="shared" si="86"/>
        <v>19.781196266465557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696.39800626745227</v>
      </c>
      <c r="H129" s="70">
        <f t="shared" si="56"/>
        <v>450.45813349742724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215.01135052017145</v>
      </c>
      <c r="T129" s="62">
        <f t="shared" si="88"/>
        <v>136.68033570181791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0.71142581951936057</v>
      </c>
      <c r="AA129" s="23">
        <f>EXP(-LN(2)/25)*AA128+(1-EXP(-LN(2)/25))/(LN(2)/25)*Calculateur!V129*Calculateur!X129*VLOOKUP('Données projet'!$B$9,Paramètres!$A$1:$I$89,3,0)*0.475*44/12</f>
        <v>0.16837061840676734</v>
      </c>
      <c r="AB129" s="23">
        <f>EXP(-LN(2)/2)*AB128+(1-EXP(-LN(2)/2))/(LN(2)/2)*V129*Y129*VLOOKUP('Données projet'!$B$9,Paramètres!$A$1:$I$89,3,0)*0.475*44/12</f>
        <v>9.1555288596118671E-15</v>
      </c>
      <c r="AC129" s="24">
        <f t="shared" si="57"/>
        <v>0.87979643792613704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293.33333333333491</v>
      </c>
      <c r="AN129" s="62">
        <f ca="1">AVERAGE(OFFSET($AM$3,0,0,'Données projet'!$E$10+1,1))-AVERAGE(OFFSET($H$3,0,0,'Données projet'!$E$10+1,1))</f>
        <v>165.12229410621887</v>
      </c>
      <c r="AO129" s="62">
        <f t="shared" si="90"/>
        <v>148.17171564653341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70.992999999999853</v>
      </c>
      <c r="D130" s="12">
        <f t="shared" si="86"/>
        <v>19.919851943349197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701.78341851006292</v>
      </c>
      <c r="H130" s="70">
        <f t="shared" si="56"/>
        <v>451.67321713466623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215.01135052017145</v>
      </c>
      <c r="T130" s="62">
        <f t="shared" si="88"/>
        <v>136.68033570181791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0.69747519312548911</v>
      </c>
      <c r="AA130" s="23">
        <f>EXP(-LN(2)/25)*AA129+(1-EXP(-LN(2)/25))/(LN(2)/25)*Calculateur!V130*Calculateur!X130*VLOOKUP('Données projet'!$B$9,Paramètres!$A$1:$I$89,3,0)*0.475*44/12</f>
        <v>0.16376651499220829</v>
      </c>
      <c r="AB130" s="23">
        <f>EXP(-LN(2)/2)*AB129+(1-EXP(-LN(2)/2))/(LN(2)/2)*V130*Y130*VLOOKUP('Données projet'!$B$9,Paramètres!$A$1:$I$89,3,0)*0.475*44/12</f>
        <v>6.4739365419806896E-15</v>
      </c>
      <c r="AC130" s="24">
        <f t="shared" si="57"/>
        <v>0.86124170811770384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293.33333333333491</v>
      </c>
      <c r="AN130" s="62">
        <f ca="1">AVERAGE(OFFSET($AM$3,0,0,'Données projet'!$E$10+1,1))-AVERAGE(OFFSET($H$3,0,0,'Données projet'!$E$10+1,1))</f>
        <v>165.12229410621887</v>
      </c>
      <c r="AO130" s="62">
        <f t="shared" si="90"/>
        <v>148.17171564653341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71.55199999999985</v>
      </c>
      <c r="D131" s="12">
        <f t="shared" si="86"/>
        <v>20.058380594223749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707.16785020102441</v>
      </c>
      <c r="H131" s="70">
        <f t="shared" si="56"/>
        <v>452.88807953493938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215.01135052017145</v>
      </c>
      <c r="T131" s="62">
        <f t="shared" si="88"/>
        <v>136.68033570181791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0.68379813000615952</v>
      </c>
      <c r="AA131" s="23">
        <f>EXP(-LN(2)/25)*AA130+(1-EXP(-LN(2)/25))/(LN(2)/25)*Calculateur!V131*Calculateur!X131*VLOOKUP('Données projet'!$B$9,Paramètres!$A$1:$I$89,3,0)*0.475*44/12</f>
        <v>0.15928831102763963</v>
      </c>
      <c r="AB131" s="23">
        <f>EXP(-LN(2)/2)*AB130+(1-EXP(-LN(2)/2))/(LN(2)/2)*V131*Y131*VLOOKUP('Données projet'!$B$9,Paramètres!$A$1:$I$89,3,0)*0.475*44/12</f>
        <v>4.5777644298059336E-15</v>
      </c>
      <c r="AC131" s="24">
        <f t="shared" si="57"/>
        <v>0.8430864410338037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293.33333333333491</v>
      </c>
      <c r="AN131" s="62">
        <f ca="1">AVERAGE(OFFSET($AM$3,0,0,'Données projet'!$E$10+1,1))-AVERAGE(OFFSET($H$3,0,0,'Données projet'!$E$10+1,1))</f>
        <v>165.12229410621887</v>
      </c>
      <c r="AO131" s="62">
        <f t="shared" si="90"/>
        <v>148.17171564653341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72.110999999999848</v>
      </c>
      <c r="D132" s="12">
        <f t="shared" si="86"/>
        <v>20.19678332651322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712.55130988887277</v>
      </c>
      <c r="H132" s="70">
        <f t="shared" ref="H132:H195" si="110">(B132+E132+F132)*44/12+(C132+D132)*0.475*44/12</f>
        <v>454.10272262701022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215.01135052017145</v>
      </c>
      <c r="T132" s="62">
        <f t="shared" si="88"/>
        <v>136.68033570181791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0.6703892657524152</v>
      </c>
      <c r="AA132" s="23">
        <f>EXP(-LN(2)/25)*AA131+(1-EXP(-LN(2)/25))/(LN(2)/25)*Calculateur!V132*Calculateur!X132*VLOOKUP('Données projet'!$B$9,Paramètres!$A$1:$I$89,3,0)*0.475*44/12</f>
        <v>0.15493256378598061</v>
      </c>
      <c r="AB132" s="23">
        <f>EXP(-LN(2)/2)*AB131+(1-EXP(-LN(2)/2))/(LN(2)/2)*V132*Y132*VLOOKUP('Données projet'!$B$9,Paramètres!$A$1:$I$89,3,0)*0.475*44/12</f>
        <v>3.2369682709903448E-15</v>
      </c>
      <c r="AC132" s="24">
        <f t="shared" ref="AC132:AC153" si="111">SUM(Z132:AB132)</f>
        <v>0.82532182953839905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293.33333333333491</v>
      </c>
      <c r="AN132" s="62">
        <f ca="1">AVERAGE(OFFSET($AM$3,0,0,'Données projet'!$E$10+1,1))-AVERAGE(OFFSET($H$3,0,0,'Données projet'!$E$10+1,1))</f>
        <v>165.12229410621887</v>
      </c>
      <c r="AO132" s="62">
        <f t="shared" si="90"/>
        <v>148.17171564653341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72.669999999999845</v>
      </c>
      <c r="D133" s="12">
        <f t="shared" ref="D133:D196" si="140">IFERROR(EXP(-1.0587+0.8836*LN(C133)+0.284),0)</f>
        <v>20.335061229480619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717.93380598195461</v>
      </c>
      <c r="H133" s="70">
        <f t="shared" si="110"/>
        <v>455.31714830801172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215.01135052017145</v>
      </c>
      <c r="T133" s="62">
        <f t="shared" ref="T133:T196" si="142">$T$3</f>
        <v>136.68033570181791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0.65724334114808725</v>
      </c>
      <c r="AA133" s="23">
        <f>EXP(-LN(2)/25)*AA132+(1-EXP(-LN(2)/25))/(LN(2)/25)*Calculateur!V133*Calculateur!X133*VLOOKUP('Données projet'!$B$9,Paramètres!$A$1:$I$89,3,0)*0.475*44/12</f>
        <v>0.15069592468170354</v>
      </c>
      <c r="AB133" s="23">
        <f>EXP(-LN(2)/2)*AB132+(1-EXP(-LN(2)/2))/(LN(2)/2)*V133*Y133*VLOOKUP('Données projet'!$B$9,Paramètres!$A$1:$I$89,3,0)*0.475*44/12</f>
        <v>2.2888822149029668E-15</v>
      </c>
      <c r="AC133" s="24">
        <f t="shared" si="111"/>
        <v>0.80793926582979314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293.33333333333491</v>
      </c>
      <c r="AN133" s="62">
        <f ca="1">AVERAGE(OFFSET($AM$3,0,0,'Données projet'!$E$10+1,1))-AVERAGE(OFFSET($H$3,0,0,'Données projet'!$E$10+1,1))</f>
        <v>165.12229410621887</v>
      </c>
      <c r="AO133" s="62">
        <f t="shared" ref="AO133:AO196" si="144">$AO$3</f>
        <v>148.17171564653341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73.228999999999843</v>
      </c>
      <c r="D134" s="12">
        <f t="shared" si="140"/>
        <v>20.473215374663191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723.31534675178489</v>
      </c>
      <c r="H134" s="70">
        <f t="shared" si="110"/>
        <v>456.53135844420478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215.01135052017145</v>
      </c>
      <c r="T134" s="62">
        <f t="shared" si="142"/>
        <v>136.68033570181791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0.64435520010702785</v>
      </c>
      <c r="AA134" s="23">
        <f>EXP(-LN(2)/25)*AA133+(1-EXP(-LN(2)/25))/(LN(2)/25)*Calculateur!V134*Calculateur!X134*VLOOKUP('Données projet'!$B$9,Paramètres!$A$1:$I$89,3,0)*0.475*44/12</f>
        <v>0.14657513669652808</v>
      </c>
      <c r="AB134" s="23">
        <f>EXP(-LN(2)/2)*AB133+(1-EXP(-LN(2)/2))/(LN(2)/2)*V134*Y134*VLOOKUP('Données projet'!$B$9,Paramètres!$A$1:$I$89,3,0)*0.475*44/12</f>
        <v>1.6184841354951724E-15</v>
      </c>
      <c r="AC134" s="24">
        <f t="shared" si="111"/>
        <v>0.79093033680355762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293.33333333333491</v>
      </c>
      <c r="AN134" s="62">
        <f ca="1">AVERAGE(OFFSET($AM$3,0,0,'Données projet'!$E$10+1,1))-AVERAGE(OFFSET($H$3,0,0,'Données projet'!$E$10+1,1))</f>
        <v>165.12229410621887</v>
      </c>
      <c r="AO134" s="62">
        <f t="shared" si="144"/>
        <v>148.17171564653341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73.78799999999984</v>
      </c>
      <c r="D135" s="12">
        <f t="shared" si="140"/>
        <v>20.611246816293903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728.69594033630256</v>
      </c>
      <c r="H135" s="70">
        <f t="shared" si="110"/>
        <v>457.74535487171158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215.01135052017145</v>
      </c>
      <c r="T135" s="62">
        <f t="shared" si="142"/>
        <v>136.68033570181791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0.63171978765079384</v>
      </c>
      <c r="AA135" s="23">
        <f>EXP(-LN(2)/25)*AA134+(1-EXP(-LN(2)/25))/(LN(2)/25)*Calculateur!V135*Calculateur!X135*VLOOKUP('Données projet'!$B$9,Paramètres!$A$1:$I$89,3,0)*0.475*44/12</f>
        <v>0.14256703187551009</v>
      </c>
      <c r="AB135" s="23">
        <f>EXP(-LN(2)/2)*AB134+(1-EXP(-LN(2)/2))/(LN(2)/2)*V135*Y135*VLOOKUP('Données projet'!$B$9,Paramètres!$A$1:$I$89,3,0)*0.475*44/12</f>
        <v>1.1444411074514834E-15</v>
      </c>
      <c r="AC135" s="24">
        <f t="shared" si="111"/>
        <v>0.77428681952630507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293.33333333333491</v>
      </c>
      <c r="AN135" s="62">
        <f ca="1">AVERAGE(OFFSET($AM$3,0,0,'Données projet'!$E$10+1,1))-AVERAGE(OFFSET($H$3,0,0,'Données projet'!$E$10+1,1))</f>
        <v>165.12229410621887</v>
      </c>
      <c r="AO135" s="62">
        <f t="shared" si="144"/>
        <v>148.17171564653341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74.346999999999838</v>
      </c>
      <c r="D136" s="12">
        <f t="shared" si="140"/>
        <v>20.749156591709802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734.07559474302195</v>
      </c>
      <c r="H136" s="70">
        <f t="shared" si="110"/>
        <v>458.9591393972276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215.01135052017145</v>
      </c>
      <c r="T136" s="62">
        <f t="shared" si="142"/>
        <v>136.68033570181791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0.6193321479259859</v>
      </c>
      <c r="AA136" s="23">
        <f>EXP(-LN(2)/25)*AA135+(1-EXP(-LN(2)/25))/(LN(2)/25)*Calculateur!V136*Calculateur!X136*VLOOKUP('Données projet'!$B$9,Paramètres!$A$1:$I$89,3,0)*0.475*44/12</f>
        <v>0.13866852889159989</v>
      </c>
      <c r="AB136" s="23">
        <f>EXP(-LN(2)/2)*AB135+(1-EXP(-LN(2)/2))/(LN(2)/2)*V136*Y136*VLOOKUP('Données projet'!$B$9,Paramètres!$A$1:$I$89,3,0)*0.475*44/12</f>
        <v>8.092420677475862E-16</v>
      </c>
      <c r="AC136" s="24">
        <f t="shared" si="111"/>
        <v>0.75800067681758654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293.33333333333491</v>
      </c>
      <c r="AN136" s="62">
        <f ca="1">AVERAGE(OFFSET($AM$3,0,0,'Données projet'!$E$10+1,1))-AVERAGE(OFFSET($H$3,0,0,'Données projet'!$E$10+1,1))</f>
        <v>165.12229410621887</v>
      </c>
      <c r="AO136" s="62">
        <f t="shared" si="144"/>
        <v>148.17171564653341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74.905999999999835</v>
      </c>
      <c r="D137" s="12">
        <f t="shared" si="140"/>
        <v>20.886945721747846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739.45431785208746</v>
      </c>
      <c r="H137" s="70">
        <f t="shared" si="110"/>
        <v>460.17271379871056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215.01135052017145</v>
      </c>
      <c r="T137" s="62">
        <f t="shared" si="142"/>
        <v>136.68033570181791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0.60718742226046729</v>
      </c>
      <c r="AA137" s="23">
        <f>EXP(-LN(2)/25)*AA136+(1-EXP(-LN(2)/25))/(LN(2)/25)*Calculateur!V137*Calculateur!X137*VLOOKUP('Données projet'!$B$9,Paramètres!$A$1:$I$89,3,0)*0.475*44/12</f>
        <v>0.13487663067679809</v>
      </c>
      <c r="AB137" s="23">
        <f>EXP(-LN(2)/2)*AB136+(1-EXP(-LN(2)/2))/(LN(2)/2)*V137*Y137*VLOOKUP('Données projet'!$B$9,Paramètres!$A$1:$I$89,3,0)*0.475*44/12</f>
        <v>5.722205537257417E-16</v>
      </c>
      <c r="AC137" s="24">
        <f t="shared" si="111"/>
        <v>0.74206405293726596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293.33333333333491</v>
      </c>
      <c r="AN137" s="62">
        <f ca="1">AVERAGE(OFFSET($AM$3,0,0,'Données projet'!$E$10+1,1))-AVERAGE(OFFSET($H$3,0,0,'Données projet'!$E$10+1,1))</f>
        <v>165.12229410621887</v>
      </c>
      <c r="AO137" s="62">
        <f t="shared" si="144"/>
        <v>148.17171564653341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75.464999999999833</v>
      </c>
      <c r="D138" s="12">
        <f t="shared" si="140"/>
        <v>21.02461521112831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744.83211741923481</v>
      </c>
      <c r="H138" s="70">
        <f t="shared" si="110"/>
        <v>461.3860798260481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215.01135052017145</v>
      </c>
      <c r="T138" s="62">
        <f t="shared" si="142"/>
        <v>136.68033570181791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0.59528084725769825</v>
      </c>
      <c r="AA138" s="23">
        <f>EXP(-LN(2)/25)*AA137+(1-EXP(-LN(2)/25))/(LN(2)/25)*Calculateur!V138*Calculateur!X138*VLOOKUP('Données projet'!$B$9,Paramètres!$A$1:$I$89,3,0)*0.475*44/12</f>
        <v>0.13118842211808729</v>
      </c>
      <c r="AB138" s="23">
        <f>EXP(-LN(2)/2)*AB137+(1-EXP(-LN(2)/2))/(LN(2)/2)*V138*Y138*VLOOKUP('Données projet'!$B$9,Paramètres!$A$1:$I$89,3,0)*0.475*44/12</f>
        <v>4.046210338737931E-16</v>
      </c>
      <c r="AC138" s="24">
        <f t="shared" si="111"/>
        <v>0.72646926937578593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293.33333333333491</v>
      </c>
      <c r="AN138" s="62">
        <f ca="1">AVERAGE(OFFSET($AM$3,0,0,'Données projet'!$E$10+1,1))-AVERAGE(OFFSET($H$3,0,0,'Données projet'!$E$10+1,1))</f>
        <v>165.12229410621887</v>
      </c>
      <c r="AO138" s="62">
        <f t="shared" si="144"/>
        <v>148.17171564653341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76.02399999999983</v>
      </c>
      <c r="D139" s="12">
        <f t="shared" si="140"/>
        <v>21.162166048826901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750.20900107866248</v>
      </c>
      <c r="H139" s="70">
        <f t="shared" si="110"/>
        <v>462.59923920170655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215.01135052017145</v>
      </c>
      <c r="T139" s="62">
        <f t="shared" si="142"/>
        <v>136.68033570181791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0.58360775292843992</v>
      </c>
      <c r="AA139" s="23">
        <f>EXP(-LN(2)/25)*AA138+(1-EXP(-LN(2)/25))/(LN(2)/25)*Calculateur!V139*Calculateur!X139*VLOOKUP('Données projet'!$B$9,Paramètres!$A$1:$I$89,3,0)*0.475*44/12</f>
        <v>0.1276010678163689</v>
      </c>
      <c r="AB139" s="23">
        <f>EXP(-LN(2)/2)*AB138+(1-EXP(-LN(2)/2))/(LN(2)/2)*V139*Y139*VLOOKUP('Données projet'!$B$9,Paramètres!$A$1:$I$89,3,0)*0.475*44/12</f>
        <v>2.8611027686287085E-16</v>
      </c>
      <c r="AC139" s="24">
        <f t="shared" si="111"/>
        <v>0.71120882074480918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293.33333333333491</v>
      </c>
      <c r="AN139" s="62">
        <f ca="1">AVERAGE(OFFSET($AM$3,0,0,'Données projet'!$E$10+1,1))-AVERAGE(OFFSET($H$3,0,0,'Données projet'!$E$10+1,1))</f>
        <v>165.12229410621887</v>
      </c>
      <c r="AO139" s="62">
        <f t="shared" si="144"/>
        <v>148.17171564653341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76.582999999999828</v>
      </c>
      <c r="D140" s="12">
        <f t="shared" si="140"/>
        <v>21.299599208435229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755.58497634581454</v>
      </c>
      <c r="H140" s="70">
        <f t="shared" si="110"/>
        <v>463.81219362135766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215.01135052017145</v>
      </c>
      <c r="T140" s="62">
        <f t="shared" si="142"/>
        <v>136.68033570181791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0.57216356085909381</v>
      </c>
      <c r="AA140" s="23">
        <f>EXP(-LN(2)/25)*AA139+(1-EXP(-LN(2)/25))/(LN(2)/25)*Calculateur!V140*Calculateur!X140*VLOOKUP('Données projet'!$B$9,Paramètres!$A$1:$I$89,3,0)*0.475*44/12</f>
        <v>0.12411180990668177</v>
      </c>
      <c r="AB140" s="23">
        <f>EXP(-LN(2)/2)*AB139+(1-EXP(-LN(2)/2))/(LN(2)/2)*V140*Y140*VLOOKUP('Données projet'!$B$9,Paramètres!$A$1:$I$89,3,0)*0.475*44/12</f>
        <v>2.0231051693689655E-16</v>
      </c>
      <c r="AC140" s="24">
        <f t="shared" si="111"/>
        <v>0.69627537076577584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293.33333333333491</v>
      </c>
      <c r="AN140" s="62">
        <f ca="1">AVERAGE(OFFSET($AM$3,0,0,'Données projet'!$E$10+1,1))-AVERAGE(OFFSET($H$3,0,0,'Données projet'!$E$10+1,1))</f>
        <v>165.12229410621887</v>
      </c>
      <c r="AO140" s="62">
        <f t="shared" si="144"/>
        <v>148.17171564653341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77.141999999999825</v>
      </c>
      <c r="D141" s="12">
        <f t="shared" si="140"/>
        <v>21.43691564851072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760.96005062008135</v>
      </c>
      <c r="H141" s="70">
        <f t="shared" si="110"/>
        <v>465.02494475448918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215.01135052017145</v>
      </c>
      <c r="T141" s="62">
        <f t="shared" si="142"/>
        <v>136.68033570181791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0.56094378241595966</v>
      </c>
      <c r="AA141" s="23">
        <f>EXP(-LN(2)/25)*AA140+(1-EXP(-LN(2)/25))/(LN(2)/25)*Calculateur!V141*Calculateur!X141*VLOOKUP('Données projet'!$B$9,Paramètres!$A$1:$I$89,3,0)*0.475*44/12</f>
        <v>0.12071796593802714</v>
      </c>
      <c r="AB141" s="23">
        <f>EXP(-LN(2)/2)*AB140+(1-EXP(-LN(2)/2))/(LN(2)/2)*V141*Y141*VLOOKUP('Données projet'!$B$9,Paramètres!$A$1:$I$89,3,0)*0.475*44/12</f>
        <v>1.4305513843143542E-16</v>
      </c>
      <c r="AC141" s="24">
        <f t="shared" si="111"/>
        <v>0.68166174835398696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293.33333333333491</v>
      </c>
      <c r="AN141" s="62">
        <f ca="1">AVERAGE(OFFSET($AM$3,0,0,'Données projet'!$E$10+1,1))-AVERAGE(OFFSET($H$3,0,0,'Données projet'!$E$10+1,1))</f>
        <v>165.12229410621887</v>
      </c>
      <c r="AO141" s="62">
        <f t="shared" si="144"/>
        <v>148.17171564653341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77.700999999999823</v>
      </c>
      <c r="D142" s="12">
        <f t="shared" si="140"/>
        <v>21.574116312915926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766.33423118741973</v>
      </c>
      <c r="H142" s="70">
        <f t="shared" si="110"/>
        <v>466.23749424499488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215.01135052017145</v>
      </c>
      <c r="T142" s="62">
        <f t="shared" si="142"/>
        <v>136.68033570181791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0.5499440169847063</v>
      </c>
      <c r="AA142" s="23">
        <f>EXP(-LN(2)/25)*AA141+(1-EXP(-LN(2)/25))/(LN(2)/25)*Calculateur!V142*Calculateur!X142*VLOOKUP('Données projet'!$B$9,Paramètres!$A$1:$I$89,3,0)*0.475*44/12</f>
        <v>0.11741692681116986</v>
      </c>
      <c r="AB142" s="23">
        <f>EXP(-LN(2)/2)*AB141+(1-EXP(-LN(2)/2))/(LN(2)/2)*V142*Y142*VLOOKUP('Données projet'!$B$9,Paramètres!$A$1:$I$89,3,0)*0.475*44/12</f>
        <v>1.0115525846844827E-16</v>
      </c>
      <c r="AC142" s="24">
        <f t="shared" si="111"/>
        <v>0.66736094379587629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293.33333333333491</v>
      </c>
      <c r="AN142" s="62">
        <f ca="1">AVERAGE(OFFSET($AM$3,0,0,'Données projet'!$E$10+1,1))-AVERAGE(OFFSET($H$3,0,0,'Données projet'!$E$10+1,1))</f>
        <v>165.12229410621887</v>
      </c>
      <c r="AO142" s="62">
        <f t="shared" si="144"/>
        <v>148.17171564653341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78.25999999999982</v>
      </c>
      <c r="D143" s="12">
        <f t="shared" si="140"/>
        <v>21.7112021311479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771.70752522289467</v>
      </c>
      <c r="H143" s="70">
        <f t="shared" si="110"/>
        <v>467.44984371174894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215.01135052017145</v>
      </c>
      <c r="T143" s="62">
        <f t="shared" si="142"/>
        <v>136.68033570181791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0.53915995024436536</v>
      </c>
      <c r="AA143" s="23">
        <f>EXP(-LN(2)/25)*AA142+(1-EXP(-LN(2)/25))/(LN(2)/25)*Calculateur!V143*Calculateur!X143*VLOOKUP('Données projet'!$B$9,Paramètres!$A$1:$I$89,3,0)*0.475*44/12</f>
        <v>0.1142061547728306</v>
      </c>
      <c r="AB143" s="23">
        <f>EXP(-LN(2)/2)*AB142+(1-EXP(-LN(2)/2))/(LN(2)/2)*V143*Y143*VLOOKUP('Données projet'!$B$9,Paramètres!$A$1:$I$89,3,0)*0.475*44/12</f>
        <v>7.1527569215717712E-17</v>
      </c>
      <c r="AC143" s="24">
        <f t="shared" si="111"/>
        <v>0.65336610501719605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293.33333333333491</v>
      </c>
      <c r="AN143" s="62">
        <f ca="1">AVERAGE(OFFSET($AM$3,0,0,'Données projet'!$E$10+1,1))-AVERAGE(OFFSET($H$3,0,0,'Données projet'!$E$10+1,1))</f>
        <v>165.12229410621887</v>
      </c>
      <c r="AO143" s="62">
        <f t="shared" si="144"/>
        <v>148.17171564653341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78.818999999999818</v>
      </c>
      <c r="D144" s="12">
        <f t="shared" si="140"/>
        <v>21.848174018657858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777.07993979314699</v>
      </c>
      <c r="H144" s="70">
        <f t="shared" si="110"/>
        <v>468.66199474916209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215.01135052017145</v>
      </c>
      <c r="T144" s="62">
        <f t="shared" si="142"/>
        <v>136.68033570181791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0.5285873524751713</v>
      </c>
      <c r="AA144" s="23">
        <f>EXP(-LN(2)/25)*AA143+(1-EXP(-LN(2)/25))/(LN(2)/25)*Calculateur!V144*Calculateur!X144*VLOOKUP('Données projet'!$B$9,Paramètres!$A$1:$I$89,3,0)*0.475*44/12</f>
        <v>0.11108318146472689</v>
      </c>
      <c r="AB144" s="23">
        <f>EXP(-LN(2)/2)*AB143+(1-EXP(-LN(2)/2))/(LN(2)/2)*V144*Y144*VLOOKUP('Données projet'!$B$9,Paramètres!$A$1:$I$89,3,0)*0.475*44/12</f>
        <v>5.0577629234224137E-17</v>
      </c>
      <c r="AC144" s="24">
        <f t="shared" si="111"/>
        <v>0.63967053393989814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293.33333333333491</v>
      </c>
      <c r="AN144" s="62">
        <f ca="1">AVERAGE(OFFSET($AM$3,0,0,'Données projet'!$E$10+1,1))-AVERAGE(OFFSET($H$3,0,0,'Données projet'!$E$10+1,1))</f>
        <v>165.12229410621887</v>
      </c>
      <c r="AO144" s="62">
        <f t="shared" si="144"/>
        <v>148.17171564653341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79.377999999999815</v>
      </c>
      <c r="D145" s="12">
        <f t="shared" si="140"/>
        <v>21.985032877161469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782.45148185878895</v>
      </c>
      <c r="H145" s="70">
        <f t="shared" si="110"/>
        <v>469.87394892772255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215.01135052017145</v>
      </c>
      <c r="T145" s="62">
        <f t="shared" si="142"/>
        <v>136.68033570181791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0.51822207689958322</v>
      </c>
      <c r="AA145" s="23">
        <f>EXP(-LN(2)/25)*AA144+(1-EXP(-LN(2)/25))/(LN(2)/25)*Calculateur!V145*Calculateur!X145*VLOOKUP('Données projet'!$B$9,Paramètres!$A$1:$I$89,3,0)*0.475*44/12</f>
        <v>0.1080456060259633</v>
      </c>
      <c r="AB145" s="23">
        <f>EXP(-LN(2)/2)*AB144+(1-EXP(-LN(2)/2))/(LN(2)/2)*V145*Y145*VLOOKUP('Données projet'!$B$9,Paramètres!$A$1:$I$89,3,0)*0.475*44/12</f>
        <v>3.5763784607858856E-17</v>
      </c>
      <c r="AC145" s="24">
        <f t="shared" si="111"/>
        <v>0.62626768292554647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293.33333333333491</v>
      </c>
      <c r="AN145" s="62">
        <f ca="1">AVERAGE(OFFSET($AM$3,0,0,'Données projet'!$E$10+1,1))-AVERAGE(OFFSET($H$3,0,0,'Données projet'!$E$10+1,1))</f>
        <v>165.12229410621887</v>
      </c>
      <c r="AO145" s="62">
        <f t="shared" si="144"/>
        <v>148.17171564653341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79.936999999999813</v>
      </c>
      <c r="D146" s="12">
        <f t="shared" si="140"/>
        <v>22.121779594940222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787.82215827673008</v>
      </c>
      <c r="H146" s="70">
        <f t="shared" si="110"/>
        <v>471.08570779452054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215.01135052017145</v>
      </c>
      <c r="T146" s="62">
        <f t="shared" si="142"/>
        <v>136.68033570181791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0.50806005805583854</v>
      </c>
      <c r="AA146" s="23">
        <f>EXP(-LN(2)/25)*AA145+(1-EXP(-LN(2)/25))/(LN(2)/25)*Calculateur!V146*Calculateur!X146*VLOOKUP('Données projet'!$B$9,Paramètres!$A$1:$I$89,3,0)*0.475*44/12</f>
        <v>0.10509109324731186</v>
      </c>
      <c r="AB146" s="23">
        <f>EXP(-LN(2)/2)*AB145+(1-EXP(-LN(2)/2))/(LN(2)/2)*V146*Y146*VLOOKUP('Données projet'!$B$9,Paramètres!$A$1:$I$89,3,0)*0.475*44/12</f>
        <v>2.5288814617112069E-17</v>
      </c>
      <c r="AC146" s="24">
        <f t="shared" si="111"/>
        <v>0.61315115130315045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293.33333333333491</v>
      </c>
      <c r="AN146" s="62">
        <f ca="1">AVERAGE(OFFSET($AM$3,0,0,'Données projet'!$E$10+1,1))-AVERAGE(OFFSET($H$3,0,0,'Données projet'!$E$10+1,1))</f>
        <v>165.12229410621887</v>
      </c>
      <c r="AO146" s="62">
        <f t="shared" si="144"/>
        <v>148.17171564653341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80.49599999999981</v>
      </c>
      <c r="D147" s="12">
        <f t="shared" si="140"/>
        <v>22.258415047134058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793.1919758024369</v>
      </c>
      <c r="H147" s="70">
        <f t="shared" si="110"/>
        <v>472.29727287375817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215.01135052017145</v>
      </c>
      <c r="T147" s="62">
        <f t="shared" si="142"/>
        <v>136.68033570181791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0.49809731020340026</v>
      </c>
      <c r="AA147" s="23">
        <f>EXP(-LN(2)/25)*AA146+(1-EXP(-LN(2)/25))/(LN(2)/25)*Calculateur!V147*Calculateur!X147*VLOOKUP('Données projet'!$B$9,Paramètres!$A$1:$I$89,3,0)*0.475*44/12</f>
        <v>0.10221737177596371</v>
      </c>
      <c r="AB147" s="23">
        <f>EXP(-LN(2)/2)*AB146+(1-EXP(-LN(2)/2))/(LN(2)/2)*V147*Y147*VLOOKUP('Données projet'!$B$9,Paramètres!$A$1:$I$89,3,0)*0.475*44/12</f>
        <v>1.7881892303929428E-17</v>
      </c>
      <c r="AC147" s="24">
        <f t="shared" si="111"/>
        <v>0.600314681979364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293.33333333333491</v>
      </c>
      <c r="AN147" s="62">
        <f ca="1">AVERAGE(OFFSET($AM$3,0,0,'Données projet'!$E$10+1,1))-AVERAGE(OFFSET($H$3,0,0,'Données projet'!$E$10+1,1))</f>
        <v>165.12229410621887</v>
      </c>
      <c r="AO147" s="62">
        <f t="shared" si="144"/>
        <v>148.17171564653341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81.054999999999808</v>
      </c>
      <c r="D148" s="12">
        <f t="shared" si="140"/>
        <v>22.394940096025689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798.56094109212665</v>
      </c>
      <c r="H148" s="70">
        <f t="shared" si="110"/>
        <v>473.50864566724437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215.01135052017145</v>
      </c>
      <c r="T148" s="62">
        <f t="shared" si="142"/>
        <v>136.68033570181791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0.4883299257596721</v>
      </c>
      <c r="AA148" s="23">
        <f>EXP(-LN(2)/25)*AA147+(1-EXP(-LN(2)/25))/(LN(2)/25)*Calculateur!V148*Calculateur!X148*VLOOKUP('Données projet'!$B$9,Paramètres!$A$1:$I$89,3,0)*0.475*44/12</f>
        <v>9.9422232369372018E-2</v>
      </c>
      <c r="AB148" s="23">
        <f>EXP(-LN(2)/2)*AB147+(1-EXP(-LN(2)/2))/(LN(2)/2)*V148*Y148*VLOOKUP('Données projet'!$B$9,Paramètres!$A$1:$I$89,3,0)*0.475*44/12</f>
        <v>1.2644407308556034E-17</v>
      </c>
      <c r="AC148" s="24">
        <f t="shared" si="111"/>
        <v>0.58775215812904413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293.33333333333491</v>
      </c>
      <c r="AN148" s="62">
        <f ca="1">AVERAGE(OFFSET($AM$3,0,0,'Données projet'!$E$10+1,1))-AVERAGE(OFFSET($H$3,0,0,'Données projet'!$E$10+1,1))</f>
        <v>165.12229410621887</v>
      </c>
      <c r="AO148" s="62">
        <f t="shared" si="144"/>
        <v>148.17171564653341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81.613999999999805</v>
      </c>
      <c r="D149" s="12">
        <f t="shared" si="140"/>
        <v>22.531355591316824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803.92906070490028</v>
      </c>
      <c r="H149" s="70">
        <f t="shared" si="110"/>
        <v>474.71982765487644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215.01135052017145</v>
      </c>
      <c r="T149" s="62">
        <f t="shared" si="142"/>
        <v>136.68033570181791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0.47875407376736923</v>
      </c>
      <c r="AA149" s="23">
        <f>EXP(-LN(2)/25)*AA148+(1-EXP(-LN(2)/25))/(LN(2)/25)*Calculateur!V149*Calculateur!X149*VLOOKUP('Données projet'!$B$9,Paramètres!$A$1:$I$89,3,0)*0.475*44/12</f>
        <v>9.6703526196843567E-2</v>
      </c>
      <c r="AB149" s="23">
        <f>EXP(-LN(2)/2)*AB148+(1-EXP(-LN(2)/2))/(LN(2)/2)*V149*Y149*VLOOKUP('Données projet'!$B$9,Paramètres!$A$1:$I$89,3,0)*0.475*44/12</f>
        <v>8.940946151964714E-18</v>
      </c>
      <c r="AC149" s="24">
        <f t="shared" si="111"/>
        <v>0.57545759996421275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293.33333333333491</v>
      </c>
      <c r="AN149" s="62">
        <f ca="1">AVERAGE(OFFSET($AM$3,0,0,'Données projet'!$E$10+1,1))-AVERAGE(OFFSET($H$3,0,0,'Données projet'!$E$10+1,1))</f>
        <v>165.12229410621887</v>
      </c>
      <c r="AO149" s="62">
        <f t="shared" si="144"/>
        <v>148.17171564653341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82.172999999999803</v>
      </c>
      <c r="D150" s="12">
        <f t="shared" si="140"/>
        <v>22.667662370396606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809.29634110481447</v>
      </c>
      <c r="H150" s="70">
        <f t="shared" si="110"/>
        <v>475.93082029510708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215.01135052017145</v>
      </c>
      <c r="T150" s="62">
        <f t="shared" si="142"/>
        <v>136.68033570181791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0.46936599839194243</v>
      </c>
      <c r="AA150" s="23">
        <f>EXP(-LN(2)/25)*AA149+(1-EXP(-LN(2)/25))/(LN(2)/25)*Calculateur!V150*Calculateur!X150*VLOOKUP('Données projet'!$B$9,Paramètres!$A$1:$I$89,3,0)*0.475*44/12</f>
        <v>9.4059163187573458E-2</v>
      </c>
      <c r="AB150" s="23">
        <f>EXP(-LN(2)/2)*AB149+(1-EXP(-LN(2)/2))/(LN(2)/2)*V150*Y150*VLOOKUP('Données projet'!$B$9,Paramètres!$A$1:$I$89,3,0)*0.475*44/12</f>
        <v>6.3222036542780172E-18</v>
      </c>
      <c r="AC150" s="24">
        <f t="shared" si="111"/>
        <v>0.56342516157951583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293.33333333333491</v>
      </c>
      <c r="AN150" s="62">
        <f ca="1">AVERAGE(OFFSET($AM$3,0,0,'Données projet'!$E$10+1,1))-AVERAGE(OFFSET($H$3,0,0,'Données projet'!$E$10+1,1))</f>
        <v>165.12229410621887</v>
      </c>
      <c r="AO150" s="62">
        <f t="shared" si="144"/>
        <v>148.17171564653341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82.7319999999998</v>
      </c>
      <c r="D151" s="12">
        <f t="shared" si="140"/>
        <v>22.803861258602545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814.66278866289542</v>
      </c>
      <c r="H151" s="70">
        <f t="shared" si="110"/>
        <v>477.14162502539909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215.01135052017145</v>
      </c>
      <c r="T151" s="62">
        <f t="shared" si="142"/>
        <v>136.68033570181791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0.46016201744846719</v>
      </c>
      <c r="AA151" s="23">
        <f>EXP(-LN(2)/25)*AA150+(1-EXP(-LN(2)/25))/(LN(2)/25)*Calculateur!V151*Calculateur!X151*VLOOKUP('Données projet'!$B$9,Paramètres!$A$1:$I$89,3,0)*0.475*44/12</f>
        <v>9.1487110423852838E-2</v>
      </c>
      <c r="AB151" s="23">
        <f>EXP(-LN(2)/2)*AB150+(1-EXP(-LN(2)/2))/(LN(2)/2)*V151*Y151*VLOOKUP('Données projet'!$B$9,Paramètres!$A$1:$I$89,3,0)*0.475*44/12</f>
        <v>4.470473075982357E-18</v>
      </c>
      <c r="AC151" s="24">
        <f t="shared" si="111"/>
        <v>0.55164912787232001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293.33333333333491</v>
      </c>
      <c r="AN151" s="62">
        <f ca="1">AVERAGE(OFFSET($AM$3,0,0,'Données projet'!$E$10+1,1))-AVERAGE(OFFSET($H$3,0,0,'Données projet'!$E$10+1,1))</f>
        <v>165.12229410621887</v>
      </c>
      <c r="AO151" s="62">
        <f t="shared" si="144"/>
        <v>148.17171564653341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83.290999999999798</v>
      </c>
      <c r="D152" s="12">
        <f t="shared" si="140"/>
        <v>22.939953069474232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820.02840965909775</v>
      </c>
      <c r="H152" s="70">
        <f t="shared" si="110"/>
        <v>478.35224326266723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215.01135052017145</v>
      </c>
      <c r="T152" s="62">
        <f t="shared" si="142"/>
        <v>136.68033570181791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0.45113852095741941</v>
      </c>
      <c r="AA152" s="23">
        <f>EXP(-LN(2)/25)*AA151+(1-EXP(-LN(2)/25))/(LN(2)/25)*Calculateur!V152*Calculateur!X152*VLOOKUP('Données projet'!$B$9,Paramètres!$A$1:$I$89,3,0)*0.475*44/12</f>
        <v>8.8985390578214543E-2</v>
      </c>
      <c r="AB152" s="23">
        <f>EXP(-LN(2)/2)*AB151+(1-EXP(-LN(2)/2))/(LN(2)/2)*V152*Y152*VLOOKUP('Données projet'!$B$9,Paramètres!$A$1:$I$89,3,0)*0.475*44/12</f>
        <v>3.1611018271390086E-18</v>
      </c>
      <c r="AC152" s="24">
        <f t="shared" si="111"/>
        <v>0.54012391153563399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293.33333333333491</v>
      </c>
      <c r="AN152" s="62">
        <f ca="1">AVERAGE(OFFSET($AM$3,0,0,'Données projet'!$E$10+1,1))-AVERAGE(OFFSET($H$3,0,0,'Données projet'!$E$10+1,1))</f>
        <v>165.12229410621887</v>
      </c>
      <c r="AO152" s="62">
        <f t="shared" si="144"/>
        <v>148.17171564653341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83.849999999999795</v>
      </c>
      <c r="D153" s="12">
        <f t="shared" si="140"/>
        <v>23.075938604999934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825.39321028420852</v>
      </c>
      <c r="H153" s="70">
        <f t="shared" si="110"/>
        <v>479.56267640370783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215.01135052017145</v>
      </c>
      <c r="T153" s="62">
        <f t="shared" si="142"/>
        <v>136.68033570181791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0.44229196972877166</v>
      </c>
      <c r="AA153" s="23">
        <f>EXP(-LN(2)/25)*AA152+(1-EXP(-LN(2)/25))/(LN(2)/25)*Calculateur!V153*Calculateur!X153*VLOOKUP('Données projet'!$B$9,Paramètres!$A$1:$I$89,3,0)*0.475*44/12</f>
        <v>8.6552080393314954E-2</v>
      </c>
      <c r="AB153" s="23">
        <f>EXP(-LN(2)/2)*AB152+(1-EXP(-LN(2)/2))/(LN(2)/2)*V153*Y153*VLOOKUP('Données projet'!$B$9,Paramètres!$A$1:$I$89,3,0)*0.475*44/12</f>
        <v>2.2352365379911785E-18</v>
      </c>
      <c r="AC153" s="24">
        <f t="shared" si="111"/>
        <v>0.52884405012208657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293.33333333333491</v>
      </c>
      <c r="AN153" s="62">
        <f ca="1">AVERAGE(OFFSET($AM$3,0,0,'Données projet'!$E$10+1,1))-AVERAGE(OFFSET($H$3,0,0,'Données projet'!$E$10+1,1))</f>
        <v>165.12229410621887</v>
      </c>
      <c r="AO153" s="62">
        <f t="shared" si="144"/>
        <v>148.17171564653341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84.408999999999793</v>
      </c>
      <c r="D154" s="12">
        <f t="shared" si="140"/>
        <v>23.211818655856568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830.75719664169821</v>
      </c>
      <c r="H154" s="70">
        <f t="shared" si="110"/>
        <v>480.77292582561648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215.01135052017145</v>
      </c>
      <c r="T154" s="62">
        <f t="shared" si="142"/>
        <v>136.68033570181791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0.43361889397385428</v>
      </c>
      <c r="AA154" s="23">
        <f>EXP(-LN(2)/25)*AA153+(1-EXP(-LN(2)/25))/(LN(2)/25)*Calculateur!V154*Calculateur!X154*VLOOKUP('Données projet'!$B$9,Paramètres!$A$1:$I$89,3,0)*0.475*44/12</f>
        <v>8.4185309203383671E-2</v>
      </c>
      <c r="AB154" s="23">
        <f>EXP(-LN(2)/2)*AB153+(1-EXP(-LN(2)/2))/(LN(2)/2)*V154*Y154*VLOOKUP('Données projet'!$B$9,Paramètres!$A$1:$I$89,3,0)*0.475*44/12</f>
        <v>1.5805509135695043E-18</v>
      </c>
      <c r="AC154" s="24">
        <f t="shared" ref="AC154:AC203" si="163">SUM(Z154:AB154)</f>
        <v>0.51780420317723796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293.33333333333491</v>
      </c>
      <c r="AN154" s="62">
        <f ca="1">AVERAGE(OFFSET($AM$3,0,0,'Données projet'!$E$10+1,1))-AVERAGE(OFFSET($H$3,0,0,'Données projet'!$E$10+1,1))</f>
        <v>165.12229410621887</v>
      </c>
      <c r="AO154" s="62">
        <f t="shared" si="144"/>
        <v>148.17171564653341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84.96799999999979</v>
      </c>
      <c r="D155" s="12">
        <f t="shared" si="140"/>
        <v>23.347594001643007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836.12037474952342</v>
      </c>
      <c r="H155" s="70">
        <f t="shared" si="110"/>
        <v>481.98299288619449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215.01135052017145</v>
      </c>
      <c r="T155" s="62">
        <f t="shared" si="142"/>
        <v>136.68033570181791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0.42511589194443694</v>
      </c>
      <c r="AA155" s="23">
        <f>EXP(-LN(2)/25)*AA154+(1-EXP(-LN(2)/25))/(LN(2)/25)*Calculateur!V155*Calculateur!X155*VLOOKUP('Données projet'!$B$9,Paramètres!$A$1:$I$89,3,0)*0.475*44/12</f>
        <v>8.1883257496104145E-2</v>
      </c>
      <c r="AB155" s="23">
        <f>EXP(-LN(2)/2)*AB154+(1-EXP(-LN(2)/2))/(LN(2)/2)*V155*Y155*VLOOKUP('Données projet'!$B$9,Paramètres!$A$1:$I$89,3,0)*0.475*44/12</f>
        <v>1.1176182689955892E-18</v>
      </c>
      <c r="AC155" s="24">
        <f t="shared" si="163"/>
        <v>0.50699914944054103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293.33333333333491</v>
      </c>
      <c r="AN155" s="62">
        <f ca="1">AVERAGE(OFFSET($AM$3,0,0,'Données projet'!$E$10+1,1))-AVERAGE(OFFSET($H$3,0,0,'Données projet'!$E$10+1,1))</f>
        <v>165.12229410621887</v>
      </c>
      <c r="AO155" s="62">
        <f t="shared" si="144"/>
        <v>148.17171564653341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85.526999999999788</v>
      </c>
      <c r="D156" s="12">
        <f t="shared" si="140"/>
        <v>23.483265411107197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841.48275054187854</v>
      </c>
      <c r="H156" s="70">
        <f t="shared" si="110"/>
        <v>483.19287892434465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215.01135052017145</v>
      </c>
      <c r="T156" s="62">
        <f t="shared" si="142"/>
        <v>136.68033570181791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0.41677962859849738</v>
      </c>
      <c r="AA156" s="23">
        <f>EXP(-LN(2)/25)*AA155+(1-EXP(-LN(2)/25))/(LN(2)/25)*Calculateur!V156*Calculateur!X156*VLOOKUP('Données projet'!$B$9,Paramètres!$A$1:$I$89,3,0)*0.475*44/12</f>
        <v>7.9644155513819814E-2</v>
      </c>
      <c r="AB156" s="23">
        <f>EXP(-LN(2)/2)*AB155+(1-EXP(-LN(2)/2))/(LN(2)/2)*V156*Y156*VLOOKUP('Données projet'!$B$9,Paramètres!$A$1:$I$89,3,0)*0.475*44/12</f>
        <v>7.9027545678475215E-19</v>
      </c>
      <c r="AC156" s="24">
        <f t="shared" si="163"/>
        <v>0.49642378411231719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293.33333333333491</v>
      </c>
      <c r="AN156" s="62">
        <f ca="1">AVERAGE(OFFSET($AM$3,0,0,'Données projet'!$E$10+1,1))-AVERAGE(OFFSET($H$3,0,0,'Données projet'!$E$10+1,1))</f>
        <v>165.12229410621887</v>
      </c>
      <c r="AO156" s="62">
        <f t="shared" si="144"/>
        <v>148.17171564653341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86.085999999999785</v>
      </c>
      <c r="D157" s="12">
        <f t="shared" si="140"/>
        <v>23.618833642367036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846.84432987090179</v>
      </c>
      <c r="H157" s="70">
        <f t="shared" si="110"/>
        <v>484.40258526045551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215.01135052017145</v>
      </c>
      <c r="T157" s="62">
        <f t="shared" si="142"/>
        <v>136.68033570181791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0.40860683429215311</v>
      </c>
      <c r="AA157" s="23">
        <f>EXP(-LN(2)/25)*AA156+(1-EXP(-LN(2)/25))/(LN(2)/25)*Calculateur!V157*Calculateur!X157*VLOOKUP('Données projet'!$B$9,Paramètres!$A$1:$I$89,3,0)*0.475*44/12</f>
        <v>7.7466281892990305E-2</v>
      </c>
      <c r="AB157" s="23">
        <f>EXP(-LN(2)/2)*AB156+(1-EXP(-LN(2)/2))/(LN(2)/2)*V157*Y157*VLOOKUP('Données projet'!$B$9,Paramètres!$A$1:$I$89,3,0)*0.475*44/12</f>
        <v>5.5880913449779462E-19</v>
      </c>
      <c r="AC157" s="24">
        <f t="shared" si="163"/>
        <v>0.48607311618514343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293.33333333333491</v>
      </c>
      <c r="AN157" s="62">
        <f ca="1">AVERAGE(OFFSET($AM$3,0,0,'Données projet'!$E$10+1,1))-AVERAGE(OFFSET($H$3,0,0,'Données projet'!$E$10+1,1))</f>
        <v>165.12229410621887</v>
      </c>
      <c r="AO157" s="62">
        <f t="shared" si="144"/>
        <v>148.17171564653341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86.644999999999783</v>
      </c>
      <c r="D158" s="12">
        <f t="shared" si="140"/>
        <v>23.75429944312544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852.20511850833509</v>
      </c>
      <c r="H158" s="70">
        <f t="shared" si="110"/>
        <v>485.61211319677642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215.01135052017145</v>
      </c>
      <c r="T158" s="62">
        <f t="shared" si="142"/>
        <v>136.68033570181791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0.4005943034972439</v>
      </c>
      <c r="AA158" s="23">
        <f>EXP(-LN(2)/25)*AA157+(1-EXP(-LN(2)/25))/(LN(2)/25)*Calculateur!V158*Calculateur!X158*VLOOKUP('Données projet'!$B$9,Paramètres!$A$1:$I$89,3,0)*0.475*44/12</f>
        <v>7.5347962340851768E-2</v>
      </c>
      <c r="AB158" s="23">
        <f>EXP(-LN(2)/2)*AB157+(1-EXP(-LN(2)/2))/(LN(2)/2)*V158*Y158*VLOOKUP('Données projet'!$B$9,Paramètres!$A$1:$I$89,3,0)*0.475*44/12</f>
        <v>3.9513772839237607E-19</v>
      </c>
      <c r="AC158" s="24">
        <f t="shared" si="163"/>
        <v>0.47594226583809568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293.33333333333491</v>
      </c>
      <c r="AN158" s="62">
        <f ca="1">AVERAGE(OFFSET($AM$3,0,0,'Données projet'!$E$10+1,1))-AVERAGE(OFFSET($H$3,0,0,'Données projet'!$E$10+1,1))</f>
        <v>165.12229410621887</v>
      </c>
      <c r="AO158" s="62">
        <f t="shared" si="144"/>
        <v>148.17171564653341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87.20399999999978</v>
      </c>
      <c r="D159" s="12">
        <f t="shared" si="140"/>
        <v>23.889663550879664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857.5651221471395</v>
      </c>
      <c r="H159" s="70">
        <f t="shared" si="110"/>
        <v>486.82146401778164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215.01135052017145</v>
      </c>
      <c r="T159" s="62">
        <f t="shared" si="142"/>
        <v>136.68033570181791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0.39273889354406166</v>
      </c>
      <c r="AA159" s="23">
        <f>EXP(-LN(2)/25)*AA158+(1-EXP(-LN(2)/25))/(LN(2)/25)*Calculateur!V159*Calculateur!X159*VLOOKUP('Données projet'!$B$9,Paramètres!$A$1:$I$89,3,0)*0.475*44/12</f>
        <v>7.328756834826404E-2</v>
      </c>
      <c r="AB159" s="23">
        <f>EXP(-LN(2)/2)*AB158+(1-EXP(-LN(2)/2))/(LN(2)/2)*V159*Y159*VLOOKUP('Données projet'!$B$9,Paramètres!$A$1:$I$89,3,0)*0.475*44/12</f>
        <v>2.7940456724889731E-19</v>
      </c>
      <c r="AC159" s="24">
        <f t="shared" si="163"/>
        <v>0.46602646189232572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293.33333333333491</v>
      </c>
      <c r="AN159" s="62">
        <f ca="1">AVERAGE(OFFSET($AM$3,0,0,'Données projet'!$E$10+1,1))-AVERAGE(OFFSET($H$3,0,0,'Données projet'!$E$10+1,1))</f>
        <v>165.12229410621887</v>
      </c>
      <c r="AO159" s="62">
        <f t="shared" si="144"/>
        <v>148.17171564653341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87.762999999999778</v>
      </c>
      <c r="D160" s="12">
        <f t="shared" si="140"/>
        <v>24.024926693125117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862.92434640306931</v>
      </c>
      <c r="H160" s="70">
        <f t="shared" si="110"/>
        <v>488.03063899052586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215.01135052017145</v>
      </c>
      <c r="T160" s="62">
        <f t="shared" si="142"/>
        <v>136.68033570181791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0.38503752338873437</v>
      </c>
      <c r="AA160" s="23">
        <f>EXP(-LN(2)/25)*AA159+(1-EXP(-LN(2)/25))/(LN(2)/25)*Calculateur!V160*Calculateur!X160*VLOOKUP('Données projet'!$B$9,Paramètres!$A$1:$I$89,3,0)*0.475*44/12</f>
        <v>7.1283515937755046E-2</v>
      </c>
      <c r="AB160" s="23">
        <f>EXP(-LN(2)/2)*AB159+(1-EXP(-LN(2)/2))/(LN(2)/2)*V160*Y160*VLOOKUP('Données projet'!$B$9,Paramètres!$A$1:$I$89,3,0)*0.475*44/12</f>
        <v>1.9756886419618804E-19</v>
      </c>
      <c r="AC160" s="24">
        <f t="shared" si="163"/>
        <v>0.45632103932648943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293.33333333333491</v>
      </c>
      <c r="AN160" s="62">
        <f ca="1">AVERAGE(OFFSET($AM$3,0,0,'Données projet'!$E$10+1,1))-AVERAGE(OFFSET($H$3,0,0,'Données projet'!$E$10+1,1))</f>
        <v>165.12229410621887</v>
      </c>
      <c r="AO160" s="62">
        <f t="shared" si="144"/>
        <v>148.17171564653341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88.321999999999775</v>
      </c>
      <c r="D161" s="12">
        <f t="shared" si="140"/>
        <v>24.160089587553845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868.28279681620336</v>
      </c>
      <c r="H161" s="70">
        <f t="shared" si="110"/>
        <v>489.23963936498916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215.01135052017145</v>
      </c>
      <c r="T161" s="62">
        <f t="shared" si="142"/>
        <v>136.68033570181791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0.37748717240478108</v>
      </c>
      <c r="AA161" s="23">
        <f>EXP(-LN(2)/25)*AA160+(1-EXP(-LN(2)/25))/(LN(2)/25)*Calculateur!V161*Calculateur!X161*VLOOKUP('Données projet'!$B$9,Paramètres!$A$1:$I$89,3,0)*0.475*44/12</f>
        <v>6.9334264445799945E-2</v>
      </c>
      <c r="AB161" s="23">
        <f>EXP(-LN(2)/2)*AB160+(1-EXP(-LN(2)/2))/(LN(2)/2)*V161*Y161*VLOOKUP('Données projet'!$B$9,Paramètres!$A$1:$I$89,3,0)*0.475*44/12</f>
        <v>1.3970228362444866E-19</v>
      </c>
      <c r="AC161" s="24">
        <f t="shared" si="163"/>
        <v>0.44682143685058101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293.33333333333491</v>
      </c>
      <c r="AN161" s="62">
        <f ca="1">AVERAGE(OFFSET($AM$3,0,0,'Données projet'!$E$10+1,1))-AVERAGE(OFFSET($H$3,0,0,'Données projet'!$E$10+1,1))</f>
        <v>165.12229410621887</v>
      </c>
      <c r="AO161" s="62">
        <f t="shared" si="144"/>
        <v>148.17171564653341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88.880999999999773</v>
      </c>
      <c r="D162" s="12">
        <f t="shared" si="140"/>
        <v>24.295152942247746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873.64047885243701</v>
      </c>
      <c r="H162" s="70">
        <f t="shared" si="110"/>
        <v>490.44846637441435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215.01135052017145</v>
      </c>
      <c r="T162" s="62">
        <f t="shared" si="142"/>
        <v>136.68033570181791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0.37008487919836375</v>
      </c>
      <c r="AA162" s="23">
        <f>EXP(-LN(2)/25)*AA161+(1-EXP(-LN(2)/25))/(LN(2)/25)*Calculateur!V162*Calculateur!X162*VLOOKUP('Données projet'!$B$9,Paramètres!$A$1:$I$89,3,0)*0.475*44/12</f>
        <v>6.7438315338399044E-2</v>
      </c>
      <c r="AB162" s="23">
        <f>EXP(-LN(2)/2)*AB161+(1-EXP(-LN(2)/2))/(LN(2)/2)*V162*Y162*VLOOKUP('Données projet'!$B$9,Paramètres!$A$1:$I$89,3,0)*0.475*44/12</f>
        <v>9.8784432098094018E-20</v>
      </c>
      <c r="AC162" s="24">
        <f t="shared" si="163"/>
        <v>0.43752319453676281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293.33333333333491</v>
      </c>
      <c r="AN162" s="62">
        <f ca="1">AVERAGE(OFFSET($AM$3,0,0,'Données projet'!$E$10+1,1))-AVERAGE(OFFSET($H$3,0,0,'Données projet'!$E$10+1,1))</f>
        <v>165.12229410621887</v>
      </c>
      <c r="AO162" s="62">
        <f t="shared" si="144"/>
        <v>148.17171564653341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89.43999999999977</v>
      </c>
      <c r="D163" s="12">
        <f t="shared" si="140"/>
        <v>24.430117455866995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878.99739790493641</v>
      </c>
      <c r="H163" s="70">
        <f t="shared" si="110"/>
        <v>491.65712123563458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215.01135052017145</v>
      </c>
      <c r="T163" s="62">
        <f t="shared" si="142"/>
        <v>136.68033570181791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0.36282774044677119</v>
      </c>
      <c r="AA163" s="23">
        <f>EXP(-LN(2)/25)*AA162+(1-EXP(-LN(2)/25))/(LN(2)/25)*Calculateur!V163*Calculateur!X163*VLOOKUP('Données projet'!$B$9,Paramètres!$A$1:$I$89,3,0)*0.475*44/12</f>
        <v>6.5594211059043644E-2</v>
      </c>
      <c r="AB163" s="23">
        <f>EXP(-LN(2)/2)*AB162+(1-EXP(-LN(2)/2))/(LN(2)/2)*V163*Y163*VLOOKUP('Données projet'!$B$9,Paramètres!$A$1:$I$89,3,0)*0.475*44/12</f>
        <v>6.9851141812224328E-20</v>
      </c>
      <c r="AC163" s="24">
        <f t="shared" si="163"/>
        <v>0.42842195150581486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293.33333333333491</v>
      </c>
      <c r="AN163" s="62">
        <f ca="1">AVERAGE(OFFSET($AM$3,0,0,'Données projet'!$E$10+1,1))-AVERAGE(OFFSET($H$3,0,0,'Données projet'!$E$10+1,1))</f>
        <v>165.12229410621887</v>
      </c>
      <c r="AO163" s="62">
        <f t="shared" si="144"/>
        <v>148.17171564653341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89.998999999999768</v>
      </c>
      <c r="D164" s="12">
        <f t="shared" si="140"/>
        <v>24.564983817833372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884.35355929555408</v>
      </c>
      <c r="H164" s="70">
        <f t="shared" si="110"/>
        <v>492.86560514939265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215.01135052017145</v>
      </c>
      <c r="T164" s="62">
        <f t="shared" si="142"/>
        <v>136.68033570181791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0.35571290975967979</v>
      </c>
      <c r="AA164" s="23">
        <f>EXP(-LN(2)/25)*AA163+(1-EXP(-LN(2)/25))/(LN(2)/25)*Calculateur!V164*Calculateur!X164*VLOOKUP('Données projet'!$B$9,Paramètres!$A$1:$I$89,3,0)*0.475*44/12</f>
        <v>6.3800533908184451E-2</v>
      </c>
      <c r="AB164" s="23">
        <f>EXP(-LN(2)/2)*AB163+(1-EXP(-LN(2)/2))/(LN(2)/2)*V164*Y164*VLOOKUP('Données projet'!$B$9,Paramètres!$A$1:$I$89,3,0)*0.475*44/12</f>
        <v>4.9392216049047009E-20</v>
      </c>
      <c r="AC164" s="24">
        <f t="shared" si="163"/>
        <v>0.41951344366786425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293.33333333333491</v>
      </c>
      <c r="AN164" s="62">
        <f ca="1">AVERAGE(OFFSET($AM$3,0,0,'Données projet'!$E$10+1,1))-AVERAGE(OFFSET($H$3,0,0,'Données projet'!$E$10+1,1))</f>
        <v>165.12229410621887</v>
      </c>
      <c r="AO164" s="62">
        <f t="shared" si="144"/>
        <v>148.17171564653341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90.557999999999765</v>
      </c>
      <c r="D165" s="12">
        <f t="shared" si="140"/>
        <v>24.699752708509081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889.70896827620857</v>
      </c>
      <c r="H165" s="70">
        <f t="shared" si="110"/>
        <v>494.0739193006529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215.01135052017145</v>
      </c>
      <c r="T165" s="62">
        <f t="shared" si="142"/>
        <v>136.68033570181791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0.34873759656274406</v>
      </c>
      <c r="AA165" s="23">
        <f>EXP(-LN(2)/25)*AA164+(1-EXP(-LN(2)/25))/(LN(2)/25)*Calculateur!V165*Calculateur!X165*VLOOKUP('Données projet'!$B$9,Paramètres!$A$1:$I$89,3,0)*0.475*44/12</f>
        <v>6.2055904953340887E-2</v>
      </c>
      <c r="AB165" s="23">
        <f>EXP(-LN(2)/2)*AB164+(1-EXP(-LN(2)/2))/(LN(2)/2)*V165*Y165*VLOOKUP('Données projet'!$B$9,Paramètres!$A$1:$I$89,3,0)*0.475*44/12</f>
        <v>3.4925570906112164E-20</v>
      </c>
      <c r="AC165" s="24">
        <f t="shared" si="163"/>
        <v>0.41079350151608496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293.33333333333491</v>
      </c>
      <c r="AN165" s="62">
        <f ca="1">AVERAGE(OFFSET($AM$3,0,0,'Données projet'!$E$10+1,1))-AVERAGE(OFFSET($H$3,0,0,'Données projet'!$E$10+1,1))</f>
        <v>165.12229410621887</v>
      </c>
      <c r="AO165" s="62">
        <f t="shared" si="144"/>
        <v>148.17171564653341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91.116999999999763</v>
      </c>
      <c r="D166" s="12">
        <f t="shared" si="140"/>
        <v>24.834424799371007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895.06363003023068</v>
      </c>
      <c r="H166" s="70">
        <f t="shared" si="110"/>
        <v>495.28206485890405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215.01135052017145</v>
      </c>
      <c r="T166" s="62">
        <f t="shared" si="142"/>
        <v>136.68033570181791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0.34189906500307926</v>
      </c>
      <c r="AA166" s="23">
        <f>EXP(-LN(2)/25)*AA165+(1-EXP(-LN(2)/25))/(LN(2)/25)*Calculateur!V166*Calculateur!X166*VLOOKUP('Données projet'!$B$9,Paramètres!$A$1:$I$89,3,0)*0.475*44/12</f>
        <v>6.0358982969013569E-2</v>
      </c>
      <c r="AB166" s="23">
        <f>EXP(-LN(2)/2)*AB165+(1-EXP(-LN(2)/2))/(LN(2)/2)*V166*Y166*VLOOKUP('Données projet'!$B$9,Paramètres!$A$1:$I$89,3,0)*0.475*44/12</f>
        <v>2.4696108024523505E-20</v>
      </c>
      <c r="AC166" s="24">
        <f t="shared" si="163"/>
        <v>0.40225804797209286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293.33333333333491</v>
      </c>
      <c r="AN166" s="62">
        <f ca="1">AVERAGE(OFFSET($AM$3,0,0,'Données projet'!$E$10+1,1))-AVERAGE(OFFSET($H$3,0,0,'Données projet'!$E$10+1,1))</f>
        <v>165.12229410621887</v>
      </c>
      <c r="AO166" s="62">
        <f t="shared" si="144"/>
        <v>148.17171564653341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91.67599999999976</v>
      </c>
      <c r="D167" s="12">
        <f t="shared" si="140"/>
        <v>24.969000753180424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900.4175496736716</v>
      </c>
      <c r="H167" s="70">
        <f t="shared" si="110"/>
        <v>496.49004297845545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215.01135052017145</v>
      </c>
      <c r="T167" s="62">
        <f t="shared" si="142"/>
        <v>136.68033570181791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0.33519463287620715</v>
      </c>
      <c r="AA167" s="23">
        <f>EXP(-LN(2)/25)*AA166+(1-EXP(-LN(2)/25))/(LN(2)/25)*Calculateur!V167*Calculateur!X167*VLOOKUP('Données projet'!$B$9,Paramètres!$A$1:$I$89,3,0)*0.475*44/12</f>
        <v>5.8708463405584929E-2</v>
      </c>
      <c r="AB167" s="23">
        <f>EXP(-LN(2)/2)*AB166+(1-EXP(-LN(2)/2))/(LN(2)/2)*V167*Y167*VLOOKUP('Données projet'!$B$9,Paramètres!$A$1:$I$89,3,0)*0.475*44/12</f>
        <v>1.7462785453056082E-20</v>
      </c>
      <c r="AC167" s="24">
        <f t="shared" si="163"/>
        <v>0.3939030962817921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293.33333333333491</v>
      </c>
      <c r="AN167" s="62">
        <f ca="1">AVERAGE(OFFSET($AM$3,0,0,'Données projet'!$E$10+1,1))-AVERAGE(OFFSET($H$3,0,0,'Données projet'!$E$10+1,1))</f>
        <v>165.12229410621887</v>
      </c>
      <c r="AO167" s="62">
        <f t="shared" si="144"/>
        <v>148.17171564653341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92.234999999999758</v>
      </c>
      <c r="D168" s="12">
        <f t="shared" si="140"/>
        <v>25.103481224148709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905.77073225658467</v>
      </c>
      <c r="H168" s="70">
        <f t="shared" si="110"/>
        <v>497.69785479872519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215.01135052017145</v>
      </c>
      <c r="T168" s="62">
        <f t="shared" si="142"/>
        <v>136.68033570181791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0.32862167057404318</v>
      </c>
      <c r="AA168" s="23">
        <f>EXP(-LN(2)/25)*AA167+(1-EXP(-LN(2)/25))/(LN(2)/25)*Calculateur!V168*Calculateur!X168*VLOOKUP('Données projet'!$B$9,Paramètres!$A$1:$I$89,3,0)*0.475*44/12</f>
        <v>5.7103077386415298E-2</v>
      </c>
      <c r="AB168" s="23">
        <f>EXP(-LN(2)/2)*AB167+(1-EXP(-LN(2)/2))/(LN(2)/2)*V168*Y168*VLOOKUP('Données projet'!$B$9,Paramètres!$A$1:$I$89,3,0)*0.475*44/12</f>
        <v>1.2348054012261752E-20</v>
      </c>
      <c r="AC168" s="24">
        <f t="shared" si="163"/>
        <v>0.38572474796045847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293.33333333333491</v>
      </c>
      <c r="AN168" s="62">
        <f ca="1">AVERAGE(OFFSET($AM$3,0,0,'Données projet'!$E$10+1,1))-AVERAGE(OFFSET($H$3,0,0,'Données projet'!$E$10+1,1))</f>
        <v>165.12229410621887</v>
      </c>
      <c r="AO168" s="62">
        <f t="shared" si="144"/>
        <v>148.17171564653341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92.793999999999755</v>
      </c>
      <c r="D169" s="12">
        <f t="shared" si="140"/>
        <v>25.237866858098624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911.12318276426822</v>
      </c>
      <c r="H169" s="70">
        <f t="shared" si="110"/>
        <v>498.90550144452129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215.01135052017145</v>
      </c>
      <c r="T169" s="62">
        <f t="shared" si="142"/>
        <v>136.68033570181791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0.32217760005351348</v>
      </c>
      <c r="AA169" s="23">
        <f>EXP(-LN(2)/25)*AA168+(1-EXP(-LN(2)/25))/(LN(2)/25)*Calculateur!V169*Calculateur!X169*VLOOKUP('Données projet'!$B$9,Paramètres!$A$1:$I$89,3,0)*0.475*44/12</f>
        <v>5.5541590732363443E-2</v>
      </c>
      <c r="AB169" s="23">
        <f>EXP(-LN(2)/2)*AB168+(1-EXP(-LN(2)/2))/(LN(2)/2)*V169*Y169*VLOOKUP('Données projet'!$B$9,Paramètres!$A$1:$I$89,3,0)*0.475*44/12</f>
        <v>8.731392726528041E-21</v>
      </c>
      <c r="AC169" s="24">
        <f t="shared" si="163"/>
        <v>0.3777191907858769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293.33333333333491</v>
      </c>
      <c r="AN169" s="62">
        <f ca="1">AVERAGE(OFFSET($AM$3,0,0,'Données projet'!$E$10+1,1))-AVERAGE(OFFSET($H$3,0,0,'Données projet'!$E$10+1,1))</f>
        <v>165.12229410621887</v>
      </c>
      <c r="AO169" s="62">
        <f t="shared" si="144"/>
        <v>148.17171564653341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93.352999999999753</v>
      </c>
      <c r="D170" s="12">
        <f t="shared" si="140"/>
        <v>25.372158292621872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916.47490611848286</v>
      </c>
      <c r="H170" s="70">
        <f t="shared" si="110"/>
        <v>500.11298402631598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215.01135052017145</v>
      </c>
      <c r="T170" s="62">
        <f t="shared" si="142"/>
        <v>136.68033570181791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0.31585989382539648</v>
      </c>
      <c r="AA170" s="23">
        <f>EXP(-LN(2)/25)*AA169+(1-EXP(-LN(2)/25))/(LN(2)/25)*Calculateur!V170*Calculateur!X170*VLOOKUP('Données projet'!$B$9,Paramètres!$A$1:$I$89,3,0)*0.475*44/12</f>
        <v>5.4022803012981652E-2</v>
      </c>
      <c r="AB170" s="23">
        <f>EXP(-LN(2)/2)*AB169+(1-EXP(-LN(2)/2))/(LN(2)/2)*V170*Y170*VLOOKUP('Données projet'!$B$9,Paramètres!$A$1:$I$89,3,0)*0.475*44/12</f>
        <v>6.1740270061308761E-21</v>
      </c>
      <c r="AC170" s="24">
        <f t="shared" si="163"/>
        <v>0.36988269683837816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293.33333333333491</v>
      </c>
      <c r="AN170" s="62">
        <f ca="1">AVERAGE(OFFSET($AM$3,0,0,'Données projet'!$E$10+1,1))-AVERAGE(OFFSET($H$3,0,0,'Données projet'!$E$10+1,1))</f>
        <v>165.12229410621887</v>
      </c>
      <c r="AO170" s="62">
        <f t="shared" si="144"/>
        <v>148.17171564653341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93.91199999999975</v>
      </c>
      <c r="D171" s="12">
        <f t="shared" si="140"/>
        <v>25.506356157232599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921.8259071786357</v>
      </c>
      <c r="H171" s="70">
        <f t="shared" si="110"/>
        <v>501.32030364051298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215.01135052017145</v>
      </c>
      <c r="T171" s="62">
        <f t="shared" si="142"/>
        <v>136.68033570181791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0.30966607396299251</v>
      </c>
      <c r="AA171" s="23">
        <f>EXP(-LN(2)/25)*AA170+(1-EXP(-LN(2)/25))/(LN(2)/25)*Calculateur!V171*Calculateur!X171*VLOOKUP('Données projet'!$B$9,Paramètres!$A$1:$I$89,3,0)*0.475*44/12</f>
        <v>5.2545546623655931E-2</v>
      </c>
      <c r="AB171" s="23">
        <f>EXP(-LN(2)/2)*AB170+(1-EXP(-LN(2)/2))/(LN(2)/2)*V171*Y171*VLOOKUP('Données projet'!$B$9,Paramètres!$A$1:$I$89,3,0)*0.475*44/12</f>
        <v>4.3656963632640205E-21</v>
      </c>
      <c r="AC171" s="24">
        <f t="shared" si="163"/>
        <v>0.36221162058664846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293.33333333333491</v>
      </c>
      <c r="AN171" s="62">
        <f ca="1">AVERAGE(OFFSET($AM$3,0,0,'Données projet'!$E$10+1,1))-AVERAGE(OFFSET($H$3,0,0,'Données projet'!$E$10+1,1))</f>
        <v>165.12229410621887</v>
      </c>
      <c r="AO171" s="62">
        <f t="shared" si="144"/>
        <v>148.17171564653341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94.470999999999748</v>
      </c>
      <c r="D172" s="12">
        <f t="shared" si="140"/>
        <v>25.640461073517091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927.17619074293691</v>
      </c>
      <c r="H172" s="70">
        <f t="shared" si="110"/>
        <v>502.52746136970848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215.01135052017145</v>
      </c>
      <c r="T172" s="62">
        <f t="shared" si="142"/>
        <v>136.68033570181791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0.3035937111302332</v>
      </c>
      <c r="AA172" s="23">
        <f>EXP(-LN(2)/25)*AA171+(1-EXP(-LN(2)/25))/(LN(2)/25)*Calculateur!V172*Calculateur!X172*VLOOKUP('Données projet'!$B$9,Paramètres!$A$1:$I$89,3,0)*0.475*44/12</f>
        <v>5.1108685887981856E-2</v>
      </c>
      <c r="AB172" s="23">
        <f>EXP(-LN(2)/2)*AB171+(1-EXP(-LN(2)/2))/(LN(2)/2)*V172*Y172*VLOOKUP('Données projet'!$B$9,Paramètres!$A$1:$I$89,3,0)*0.475*44/12</f>
        <v>3.0870135030654381E-21</v>
      </c>
      <c r="AC172" s="24">
        <f t="shared" si="163"/>
        <v>0.35470239701821504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293.33333333333491</v>
      </c>
      <c r="AN172" s="62">
        <f ca="1">AVERAGE(OFFSET($AM$3,0,0,'Données projet'!$E$10+1,1))-AVERAGE(OFFSET($H$3,0,0,'Données projet'!$E$10+1,1))</f>
        <v>165.12229410621887</v>
      </c>
      <c r="AO172" s="62">
        <f t="shared" si="144"/>
        <v>148.17171564653341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95.029999999999745</v>
      </c>
      <c r="D173" s="12">
        <f t="shared" si="140"/>
        <v>25.774473655280115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932.52576154952885</v>
      </c>
      <c r="H173" s="70">
        <f t="shared" si="110"/>
        <v>503.73445828294575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215.01135052017145</v>
      </c>
      <c r="T173" s="62">
        <f t="shared" si="142"/>
        <v>136.68033570181791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0.29764042362884874</v>
      </c>
      <c r="AA173" s="23">
        <f>EXP(-LN(2)/25)*AA172+(1-EXP(-LN(2)/25))/(LN(2)/25)*Calculateur!V173*Calculateur!X173*VLOOKUP('Données projet'!$B$9,Paramètres!$A$1:$I$89,3,0)*0.475*44/12</f>
        <v>4.9711116184686009E-2</v>
      </c>
      <c r="AB173" s="23">
        <f>EXP(-LN(2)/2)*AB172+(1-EXP(-LN(2)/2))/(LN(2)/2)*V173*Y173*VLOOKUP('Données projet'!$B$9,Paramètres!$A$1:$I$89,3,0)*0.475*44/12</f>
        <v>2.1828481816320103E-21</v>
      </c>
      <c r="AC173" s="24">
        <f t="shared" si="163"/>
        <v>0.34735153981353473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293.33333333333491</v>
      </c>
      <c r="AN173" s="62">
        <f ca="1">AVERAGE(OFFSET($AM$3,0,0,'Données projet'!$E$10+1,1))-AVERAGE(OFFSET($H$3,0,0,'Données projet'!$E$10+1,1))</f>
        <v>165.12229410621887</v>
      </c>
      <c r="AO173" s="62">
        <f t="shared" si="144"/>
        <v>148.17171564653341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95.588999999999743</v>
      </c>
      <c r="D174" s="12">
        <f t="shared" si="140"/>
        <v>25.908394508687365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937.87462427758476</v>
      </c>
      <c r="H174" s="70">
        <f t="shared" si="110"/>
        <v>504.94129543596335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215.01135052017145</v>
      </c>
      <c r="T174" s="62">
        <f t="shared" si="142"/>
        <v>136.68033570181791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0.29180387646421957</v>
      </c>
      <c r="AA174" s="23">
        <f>EXP(-LN(2)/25)*AA173+(1-EXP(-LN(2)/25))/(LN(2)/25)*Calculateur!V174*Calculateur!X174*VLOOKUP('Données projet'!$B$9,Paramètres!$A$1:$I$89,3,0)*0.475*44/12</f>
        <v>4.8351763098421784E-2</v>
      </c>
      <c r="AB174" s="23">
        <f>EXP(-LN(2)/2)*AB173+(1-EXP(-LN(2)/2))/(LN(2)/2)*V174*Y174*VLOOKUP('Données projet'!$B$9,Paramètres!$A$1:$I$89,3,0)*0.475*44/12</f>
        <v>1.543506751532719E-21</v>
      </c>
      <c r="AC174" s="24">
        <f t="shared" si="163"/>
        <v>0.34015563956264133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293.33333333333491</v>
      </c>
      <c r="AN174" s="62">
        <f ca="1">AVERAGE(OFFSET($AM$3,0,0,'Données projet'!$E$10+1,1))-AVERAGE(OFFSET($H$3,0,0,'Données projet'!$E$10+1,1))</f>
        <v>165.12229410621887</v>
      </c>
      <c r="AO174" s="62">
        <f t="shared" si="144"/>
        <v>148.17171564653341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96.14799999999974</v>
      </c>
      <c r="D175" s="12">
        <f t="shared" si="140"/>
        <v>26.042224232404703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943.22278354838511</v>
      </c>
      <c r="H175" s="70">
        <f t="shared" si="110"/>
        <v>506.14797387143773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215.01135052017145</v>
      </c>
      <c r="T175" s="62">
        <f t="shared" si="142"/>
        <v>136.68033570181791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0.28608178042954652</v>
      </c>
      <c r="AA175" s="23">
        <f>EXP(-LN(2)/25)*AA174+(1-EXP(-LN(2)/25))/(LN(2)/25)*Calculateur!V175*Calculateur!X175*VLOOKUP('Données projet'!$B$9,Paramètres!$A$1:$I$89,3,0)*0.475*44/12</f>
        <v>4.7029581593786729E-2</v>
      </c>
      <c r="AB175" s="23">
        <f>EXP(-LN(2)/2)*AB174+(1-EXP(-LN(2)/2))/(LN(2)/2)*V175*Y175*VLOOKUP('Données projet'!$B$9,Paramètres!$A$1:$I$89,3,0)*0.475*44/12</f>
        <v>1.0914240908160051E-21</v>
      </c>
      <c r="AC175" s="24">
        <f t="shared" si="163"/>
        <v>0.33311136202333325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293.33333333333491</v>
      </c>
      <c r="AN175" s="62">
        <f ca="1">AVERAGE(OFFSET($AM$3,0,0,'Données projet'!$E$10+1,1))-AVERAGE(OFFSET($H$3,0,0,'Données projet'!$E$10+1,1))</f>
        <v>165.12229410621887</v>
      </c>
      <c r="AO175" s="62">
        <f t="shared" si="144"/>
        <v>148.17171564653341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96.706999999999738</v>
      </c>
      <c r="D176" s="12">
        <f t="shared" si="140"/>
        <v>26.175963417733936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948.57024392636515</v>
      </c>
      <c r="H176" s="70">
        <f t="shared" si="110"/>
        <v>507.35449461921945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215.01135052017145</v>
      </c>
      <c r="T176" s="62">
        <f t="shared" si="142"/>
        <v>136.68033570181791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0.28047189120797944</v>
      </c>
      <c r="AA176" s="23">
        <f>EXP(-LN(2)/25)*AA175+(1-EXP(-LN(2)/25))/(LN(2)/25)*Calculateur!V176*Calculateur!X176*VLOOKUP('Données projet'!$B$9,Paramètres!$A$1:$I$89,3,0)*0.475*44/12</f>
        <v>4.5743555211926419E-2</v>
      </c>
      <c r="AB176" s="23">
        <f>EXP(-LN(2)/2)*AB175+(1-EXP(-LN(2)/2))/(LN(2)/2)*V176*Y176*VLOOKUP('Données projet'!$B$9,Paramètres!$A$1:$I$89,3,0)*0.475*44/12</f>
        <v>7.7175337576635952E-22</v>
      </c>
      <c r="AC176" s="24">
        <f t="shared" si="163"/>
        <v>0.32621544641990585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293.33333333333491</v>
      </c>
      <c r="AN176" s="62">
        <f ca="1">AVERAGE(OFFSET($AM$3,0,0,'Données projet'!$E$10+1,1))-AVERAGE(OFFSET($H$3,0,0,'Données projet'!$E$10+1,1))</f>
        <v>165.12229410621887</v>
      </c>
      <c r="AO176" s="62">
        <f t="shared" si="144"/>
        <v>148.17171564653341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97.265999999999735</v>
      </c>
      <c r="D177" s="12">
        <f t="shared" si="140"/>
        <v>26.30961264874556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953.91700992013909</v>
      </c>
      <c r="H177" s="70">
        <f t="shared" si="110"/>
        <v>508.56085869656471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215.01135052017145</v>
      </c>
      <c r="T177" s="62">
        <f t="shared" si="142"/>
        <v>136.68033570181791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0.27497200849235276</v>
      </c>
      <c r="AA177" s="23">
        <f>EXP(-LN(2)/25)*AA176+(1-EXP(-LN(2)/25))/(LN(2)/25)*Calculateur!V177*Calculateur!X177*VLOOKUP('Données projet'!$B$9,Paramètres!$A$1:$I$89,3,0)*0.475*44/12</f>
        <v>4.4492695289107272E-2</v>
      </c>
      <c r="AB177" s="23">
        <f>EXP(-LN(2)/2)*AB176+(1-EXP(-LN(2)/2))/(LN(2)/2)*V177*Y177*VLOOKUP('Données projet'!$B$9,Paramètres!$A$1:$I$89,3,0)*0.475*44/12</f>
        <v>5.4571204540800256E-22</v>
      </c>
      <c r="AC177" s="24">
        <f t="shared" si="163"/>
        <v>0.31946470378146002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293.33333333333491</v>
      </c>
      <c r="AN177" s="62">
        <f ca="1">AVERAGE(OFFSET($AM$3,0,0,'Données projet'!$E$10+1,1))-AVERAGE(OFFSET($H$3,0,0,'Données projet'!$E$10+1,1))</f>
        <v>165.12229410621887</v>
      </c>
      <c r="AO177" s="62">
        <f t="shared" si="144"/>
        <v>148.17171564653341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97.824999999999733</v>
      </c>
      <c r="D178" s="12">
        <f t="shared" si="140"/>
        <v>26.443172502408078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959.26308598349897</v>
      </c>
      <c r="H178" s="70">
        <f t="shared" si="110"/>
        <v>509.76706710836027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215.01135052017145</v>
      </c>
      <c r="T178" s="62">
        <f t="shared" si="142"/>
        <v>136.68033570181791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0.26957997512218229</v>
      </c>
      <c r="AA178" s="23">
        <f>EXP(-LN(2)/25)*AA177+(1-EXP(-LN(2)/25))/(LN(2)/25)*Calculateur!V178*Calculateur!X178*VLOOKUP('Données projet'!$B$9,Paramètres!$A$1:$I$89,3,0)*0.475*44/12</f>
        <v>4.3276040196657477E-2</v>
      </c>
      <c r="AB178" s="23">
        <f>EXP(-LN(2)/2)*AB177+(1-EXP(-LN(2)/2))/(LN(2)/2)*V178*Y178*VLOOKUP('Données projet'!$B$9,Paramètres!$A$1:$I$89,3,0)*0.475*44/12</f>
        <v>3.8587668788317976E-22</v>
      </c>
      <c r="AC178" s="24">
        <f t="shared" si="163"/>
        <v>0.31285601531883978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293.33333333333491</v>
      </c>
      <c r="AN178" s="62">
        <f ca="1">AVERAGE(OFFSET($AM$3,0,0,'Données projet'!$E$10+1,1))-AVERAGE(OFFSET($H$3,0,0,'Données projet'!$E$10+1,1))</f>
        <v>165.12229410621887</v>
      </c>
      <c r="AO178" s="62">
        <f t="shared" si="144"/>
        <v>148.17171564653341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98.38399999999973</v>
      </c>
      <c r="D179" s="12">
        <f t="shared" si="140"/>
        <v>26.576643548714546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964.60847651639085</v>
      </c>
      <c r="H179" s="70">
        <f t="shared" si="110"/>
        <v>510.97312084734403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215.01135052017145</v>
      </c>
      <c r="T179" s="62">
        <f t="shared" si="142"/>
        <v>136.68033570181791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0.26429367623758526</v>
      </c>
      <c r="AA179" s="23">
        <f>EXP(-LN(2)/25)*AA178+(1-EXP(-LN(2)/25))/(LN(2)/25)*Calculateur!V179*Calculateur!X179*VLOOKUP('Données projet'!$B$9,Paramètres!$A$1:$I$89,3,0)*0.475*44/12</f>
        <v>4.2092654601691835E-2</v>
      </c>
      <c r="AB179" s="23">
        <f>EXP(-LN(2)/2)*AB178+(1-EXP(-LN(2)/2))/(LN(2)/2)*V179*Y179*VLOOKUP('Données projet'!$B$9,Paramètres!$A$1:$I$89,3,0)*0.475*44/12</f>
        <v>2.7285602270400128E-22</v>
      </c>
      <c r="AC179" s="24">
        <f t="shared" si="163"/>
        <v>0.30638633083927708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293.33333333333491</v>
      </c>
      <c r="AN179" s="62">
        <f ca="1">AVERAGE(OFFSET($AM$3,0,0,'Données projet'!$E$10+1,1))-AVERAGE(OFFSET($H$3,0,0,'Données projet'!$E$10+1,1))</f>
        <v>165.12229410621887</v>
      </c>
      <c r="AO179" s="62">
        <f t="shared" si="144"/>
        <v>148.17171564653341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98.942999999999728</v>
      </c>
      <c r="D180" s="12">
        <f t="shared" si="140"/>
        <v>26.71002635080605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969.95318586586916</v>
      </c>
      <c r="H180" s="70">
        <f t="shared" si="110"/>
        <v>512.17902089432005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215.01135052017145</v>
      </c>
      <c r="T180" s="62">
        <f t="shared" si="142"/>
        <v>136.68033570181791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0.25911103844979122</v>
      </c>
      <c r="AA180" s="23">
        <f>EXP(-LN(2)/25)*AA179+(1-EXP(-LN(2)/25))/(LN(2)/25)*Calculateur!V180*Calculateur!X180*VLOOKUP('Données projet'!$B$9,Paramètres!$A$1:$I$89,3,0)*0.475*44/12</f>
        <v>4.0941628748052072E-2</v>
      </c>
      <c r="AB180" s="23">
        <f>EXP(-LN(2)/2)*AB179+(1-EXP(-LN(2)/2))/(LN(2)/2)*V180*Y180*VLOOKUP('Données projet'!$B$9,Paramètres!$A$1:$I$89,3,0)*0.475*44/12</f>
        <v>1.9293834394158988E-22</v>
      </c>
      <c r="AC180" s="24">
        <f t="shared" si="163"/>
        <v>0.30005266719784329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293.33333333333491</v>
      </c>
      <c r="AN180" s="62">
        <f ca="1">AVERAGE(OFFSET($AM$3,0,0,'Données projet'!$E$10+1,1))-AVERAGE(OFFSET($H$3,0,0,'Données projet'!$E$10+1,1))</f>
        <v>165.12229410621887</v>
      </c>
      <c r="AO180" s="62">
        <f t="shared" si="144"/>
        <v>148.17171564653341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99.501999999999725</v>
      </c>
      <c r="D181" s="12">
        <f t="shared" si="140"/>
        <v>26.843321465092171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975.29721832702523</v>
      </c>
      <c r="H181" s="70">
        <f t="shared" si="110"/>
        <v>513.38476821836844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215.01135052017145</v>
      </c>
      <c r="T181" s="62">
        <f t="shared" si="142"/>
        <v>136.68033570181791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0.25403002902791888</v>
      </c>
      <c r="AA181" s="23">
        <f>EXP(-LN(2)/25)*AA180+(1-EXP(-LN(2)/25))/(LN(2)/25)*Calculateur!V181*Calculateur!X181*VLOOKUP('Données projet'!$B$9,Paramètres!$A$1:$I$89,3,0)*0.475*44/12</f>
        <v>3.9822077756909907E-2</v>
      </c>
      <c r="AB181" s="23">
        <f>EXP(-LN(2)/2)*AB180+(1-EXP(-LN(2)/2))/(LN(2)/2)*V181*Y181*VLOOKUP('Données projet'!$B$9,Paramètres!$A$1:$I$89,3,0)*0.475*44/12</f>
        <v>1.3642801135200064E-22</v>
      </c>
      <c r="AC181" s="24">
        <f t="shared" si="163"/>
        <v>0.29385210678482876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293.33333333333491</v>
      </c>
      <c r="AN181" s="62">
        <f ca="1">AVERAGE(OFFSET($AM$3,0,0,'Données projet'!$E$10+1,1))-AVERAGE(OFFSET($H$3,0,0,'Données projet'!$E$10+1,1))</f>
        <v>165.12229410621887</v>
      </c>
      <c r="AO181" s="62">
        <f t="shared" si="144"/>
        <v>148.17171564653341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100.06099999999972</v>
      </c>
      <c r="D182" s="12">
        <f t="shared" si="140"/>
        <v>26.976529441368999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980.64057814389889</v>
      </c>
      <c r="H182" s="70">
        <f t="shared" si="110"/>
        <v>514.59036377705047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215.01135052017145</v>
      </c>
      <c r="T182" s="62">
        <f t="shared" si="142"/>
        <v>136.68033570181791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0.24904865510169974</v>
      </c>
      <c r="AA182" s="23">
        <f>EXP(-LN(2)/25)*AA181+(1-EXP(-LN(2)/25))/(LN(2)/25)*Calculateur!V182*Calculateur!X182*VLOOKUP('Données projet'!$B$9,Paramètres!$A$1:$I$89,3,0)*0.475*44/12</f>
        <v>3.8733140946495152E-2</v>
      </c>
      <c r="AB182" s="23">
        <f>EXP(-LN(2)/2)*AB181+(1-EXP(-LN(2)/2))/(LN(2)/2)*V182*Y182*VLOOKUP('Données projet'!$B$9,Paramètres!$A$1:$I$89,3,0)*0.475*44/12</f>
        <v>9.646917197079494E-23</v>
      </c>
      <c r="AC182" s="24">
        <f t="shared" si="163"/>
        <v>0.28778179604819487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293.33333333333491</v>
      </c>
      <c r="AN182" s="62">
        <f ca="1">AVERAGE(OFFSET($AM$3,0,0,'Données projet'!$E$10+1,1))-AVERAGE(OFFSET($H$3,0,0,'Données projet'!$E$10+1,1))</f>
        <v>165.12229410621887</v>
      </c>
      <c r="AO182" s="62">
        <f t="shared" si="144"/>
        <v>148.17171564653341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100.61999999999972</v>
      </c>
      <c r="D183" s="12">
        <f t="shared" si="140"/>
        <v>27.109650822934078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985.98326951036631</v>
      </c>
      <c r="H183" s="70">
        <f t="shared" si="110"/>
        <v>515.79580851660967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215.01135052017145</v>
      </c>
      <c r="T183" s="62">
        <f t="shared" si="142"/>
        <v>136.68033570181791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0.24416496287983569</v>
      </c>
      <c r="AA183" s="23">
        <f>EXP(-LN(2)/25)*AA182+(1-EXP(-LN(2)/25))/(LN(2)/25)*Calculateur!V183*Calculateur!X183*VLOOKUP('Données projet'!$B$9,Paramètres!$A$1:$I$89,3,0)*0.475*44/12</f>
        <v>3.7673981170425884E-2</v>
      </c>
      <c r="AB183" s="23">
        <f>EXP(-LN(2)/2)*AB182+(1-EXP(-LN(2)/2))/(LN(2)/2)*V183*Y183*VLOOKUP('Données projet'!$B$9,Paramètres!$A$1:$I$89,3,0)*0.475*44/12</f>
        <v>6.821400567600032E-23</v>
      </c>
      <c r="AC183" s="24">
        <f t="shared" si="163"/>
        <v>0.28183894405026155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293.33333333333491</v>
      </c>
      <c r="AN183" s="62">
        <f ca="1">AVERAGE(OFFSET($AM$3,0,0,'Données projet'!$E$10+1,1))-AVERAGE(OFFSET($H$3,0,0,'Données projet'!$E$10+1,1))</f>
        <v>165.12229410621887</v>
      </c>
      <c r="AO183" s="62">
        <f t="shared" si="144"/>
        <v>148.17171564653341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101.17899999999972</v>
      </c>
      <c r="D184" s="12">
        <f t="shared" si="140"/>
        <v>27.242686146698961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991.32529657100747</v>
      </c>
      <c r="H184" s="70">
        <f t="shared" si="110"/>
        <v>517.00110337216688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215.01135052017145</v>
      </c>
      <c r="T184" s="62">
        <f t="shared" si="142"/>
        <v>136.68033570181791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0.23937703688368425</v>
      </c>
      <c r="AA184" s="23">
        <f>EXP(-LN(2)/25)*AA183+(1-EXP(-LN(2)/25))/(LN(2)/25)*Calculateur!V184*Calculateur!X184*VLOOKUP('Données projet'!$B$9,Paramètres!$A$1:$I$89,3,0)*0.475*44/12</f>
        <v>3.664378417413202E-2</v>
      </c>
      <c r="AB184" s="23">
        <f>EXP(-LN(2)/2)*AB183+(1-EXP(-LN(2)/2))/(LN(2)/2)*V184*Y184*VLOOKUP('Données projet'!$B$9,Paramètres!$A$1:$I$89,3,0)*0.475*44/12</f>
        <v>4.823458598539747E-23</v>
      </c>
      <c r="AC184" s="24">
        <f t="shared" si="163"/>
        <v>0.27602082105781628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293.33333333333491</v>
      </c>
      <c r="AN184" s="62">
        <f ca="1">AVERAGE(OFFSET($AM$3,0,0,'Données projet'!$E$10+1,1))-AVERAGE(OFFSET($H$3,0,0,'Données projet'!$E$10+1,1))</f>
        <v>165.12229410621887</v>
      </c>
      <c r="AO184" s="62">
        <f t="shared" si="144"/>
        <v>148.17171564653341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101.73799999999972</v>
      </c>
      <c r="D185" s="12">
        <f t="shared" si="140"/>
        <v>27.37563594329918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996.66666342195651</v>
      </c>
      <c r="H185" s="70">
        <f t="shared" si="110"/>
        <v>518.2062492679122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215.01135052017145</v>
      </c>
      <c r="T185" s="62">
        <f t="shared" si="142"/>
        <v>136.68033570181791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0.23468299919597085</v>
      </c>
      <c r="AA185" s="23">
        <f>EXP(-LN(2)/25)*AA184+(1-EXP(-LN(2)/25))/(LN(2)/25)*Calculateur!V185*Calculateur!X185*VLOOKUP('Données projet'!$B$9,Paramètres!$A$1:$I$89,3,0)*0.475*44/12</f>
        <v>3.5641757968877523E-2</v>
      </c>
      <c r="AB185" s="23">
        <f>EXP(-LN(2)/2)*AB184+(1-EXP(-LN(2)/2))/(LN(2)/2)*V185*Y185*VLOOKUP('Données projet'!$B$9,Paramètres!$A$1:$I$89,3,0)*0.475*44/12</f>
        <v>3.410700283800016E-23</v>
      </c>
      <c r="AC185" s="24">
        <f t="shared" si="163"/>
        <v>0.27032475716484838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293.33333333333491</v>
      </c>
      <c r="AN185" s="62">
        <f ca="1">AVERAGE(OFFSET($AM$3,0,0,'Données projet'!$E$10+1,1))-AVERAGE(OFFSET($H$3,0,0,'Données projet'!$E$10+1,1))</f>
        <v>165.12229410621887</v>
      </c>
      <c r="AO185" s="62">
        <f t="shared" si="144"/>
        <v>148.17171564653341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102.29699999999971</v>
      </c>
      <c r="D186" s="12">
        <f t="shared" si="140"/>
        <v>27.508500737201498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1002.0073741117286</v>
      </c>
      <c r="H186" s="70">
        <f t="shared" si="110"/>
        <v>519.41124711729208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215.01135052017145</v>
      </c>
      <c r="T186" s="62">
        <f t="shared" si="142"/>
        <v>136.68033570181791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0.23008100872423323</v>
      </c>
      <c r="AA186" s="23">
        <f>EXP(-LN(2)/25)*AA185+(1-EXP(-LN(2)/25))/(LN(2)/25)*Calculateur!V186*Calculateur!X186*VLOOKUP('Données projet'!$B$9,Paramètres!$A$1:$I$89,3,0)*0.475*44/12</f>
        <v>3.4667132222899973E-2</v>
      </c>
      <c r="AB186" s="23">
        <f>EXP(-LN(2)/2)*AB185+(1-EXP(-LN(2)/2))/(LN(2)/2)*V186*Y186*VLOOKUP('Données projet'!$B$9,Paramètres!$A$1:$I$89,3,0)*0.475*44/12</f>
        <v>2.4117292992698735E-23</v>
      </c>
      <c r="AC186" s="24">
        <f t="shared" si="163"/>
        <v>0.26474814094713323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293.33333333333491</v>
      </c>
      <c r="AN186" s="62">
        <f ca="1">AVERAGE(OFFSET($AM$3,0,0,'Données projet'!$E$10+1,1))-AVERAGE(OFFSET($H$3,0,0,'Données projet'!$E$10+1,1))</f>
        <v>165.12229410621887</v>
      </c>
      <c r="AO186" s="62">
        <f t="shared" si="144"/>
        <v>148.17171564653341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102.85599999999971</v>
      </c>
      <c r="D187" s="12">
        <f t="shared" si="140"/>
        <v>27.641281046809159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1007.3474326420334</v>
      </c>
      <c r="H187" s="70">
        <f t="shared" si="110"/>
        <v>520.61609782319215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215.01135052017145</v>
      </c>
      <c r="T187" s="62">
        <f t="shared" si="142"/>
        <v>136.68033570181791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0.22556926047870934</v>
      </c>
      <c r="AA187" s="23">
        <f>EXP(-LN(2)/25)*AA186+(1-EXP(-LN(2)/25))/(LN(2)/25)*Calculateur!V187*Calculateur!X187*VLOOKUP('Données projet'!$B$9,Paramètres!$A$1:$I$89,3,0)*0.475*44/12</f>
        <v>3.3719157669199522E-2</v>
      </c>
      <c r="AB187" s="23">
        <f>EXP(-LN(2)/2)*AB186+(1-EXP(-LN(2)/2))/(LN(2)/2)*V187*Y187*VLOOKUP('Données projet'!$B$9,Paramètres!$A$1:$I$89,3,0)*0.475*44/12</f>
        <v>1.705350141900008E-23</v>
      </c>
      <c r="AC187" s="24">
        <f t="shared" si="163"/>
        <v>0.25928841814790887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293.33333333333491</v>
      </c>
      <c r="AN187" s="62">
        <f ca="1">AVERAGE(OFFSET($AM$3,0,0,'Données projet'!$E$10+1,1))-AVERAGE(OFFSET($H$3,0,0,'Données projet'!$E$10+1,1))</f>
        <v>165.12229410621887</v>
      </c>
      <c r="AO187" s="62">
        <f t="shared" si="144"/>
        <v>148.17171564653341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103.41499999999971</v>
      </c>
      <c r="D188" s="12">
        <f t="shared" si="140"/>
        <v>27.773977384564393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1012.6868429685651</v>
      </c>
      <c r="H188" s="70">
        <f t="shared" si="110"/>
        <v>521.82080227811582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215.01135052017145</v>
      </c>
      <c r="T188" s="62">
        <f t="shared" si="142"/>
        <v>136.68033570181791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0.2211459848643855</v>
      </c>
      <c r="AA188" s="23">
        <f>EXP(-LN(2)/25)*AA187+(1-EXP(-LN(2)/25))/(LN(2)/25)*Calculateur!V188*Calculateur!X188*VLOOKUP('Données projet'!$B$9,Paramètres!$A$1:$I$89,3,0)*0.475*44/12</f>
        <v>3.2797105529521822E-2</v>
      </c>
      <c r="AB188" s="23">
        <f>EXP(-LN(2)/2)*AB187+(1-EXP(-LN(2)/2))/(LN(2)/2)*V188*Y188*VLOOKUP('Données projet'!$B$9,Paramètres!$A$1:$I$89,3,0)*0.475*44/12</f>
        <v>1.2058646496349367E-23</v>
      </c>
      <c r="AC188" s="24">
        <f t="shared" si="163"/>
        <v>0.25394309039390733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293.33333333333491</v>
      </c>
      <c r="AN188" s="62">
        <f ca="1">AVERAGE(OFFSET($AM$3,0,0,'Données projet'!$E$10+1,1))-AVERAGE(OFFSET($H$3,0,0,'Données projet'!$E$10+1,1))</f>
        <v>165.12229410621887</v>
      </c>
      <c r="AO188" s="62">
        <f t="shared" si="144"/>
        <v>148.17171564653341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103.97399999999971</v>
      </c>
      <c r="D189" s="12">
        <f t="shared" si="140"/>
        <v>27.906590257048816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1018.025609001778</v>
      </c>
      <c r="H189" s="70">
        <f t="shared" si="110"/>
        <v>523.02536136435947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215.01135052017145</v>
      </c>
      <c r="T189" s="62">
        <f t="shared" si="142"/>
        <v>136.68033570181791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0.21680944698692681</v>
      </c>
      <c r="AA189" s="23">
        <f>EXP(-LN(2)/25)*AA188+(1-EXP(-LN(2)/25))/(LN(2)/25)*Calculateur!V189*Calculateur!X189*VLOOKUP('Données projet'!$B$9,Paramètres!$A$1:$I$89,3,0)*0.475*44/12</f>
        <v>3.1900266954092225E-2</v>
      </c>
      <c r="AB189" s="23">
        <f>EXP(-LN(2)/2)*AB188+(1-EXP(-LN(2)/2))/(LN(2)/2)*V189*Y189*VLOOKUP('Données projet'!$B$9,Paramètres!$A$1:$I$89,3,0)*0.475*44/12</f>
        <v>8.52675070950004E-24</v>
      </c>
      <c r="AC189" s="24">
        <f t="shared" si="163"/>
        <v>0.24870971394101904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293.33333333333491</v>
      </c>
      <c r="AN189" s="62">
        <f ca="1">AVERAGE(OFFSET($AM$3,0,0,'Données projet'!$E$10+1,1))-AVERAGE(OFFSET($H$3,0,0,'Données projet'!$E$10+1,1))</f>
        <v>165.12229410621887</v>
      </c>
      <c r="AO189" s="62">
        <f t="shared" si="144"/>
        <v>148.17171564653341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104.5329999999997</v>
      </c>
      <c r="D190" s="12">
        <f t="shared" si="140"/>
        <v>28.039120165081656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1023.3637346076456</v>
      </c>
      <c r="H190" s="70">
        <f t="shared" si="110"/>
        <v>524.22977595418331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215.01135052017145</v>
      </c>
      <c r="T190" s="62">
        <f t="shared" si="142"/>
        <v>136.68033570181791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0.21255794597221814</v>
      </c>
      <c r="AA190" s="23">
        <f>EXP(-LN(2)/25)*AA189+(1-EXP(-LN(2)/25))/(LN(2)/25)*Calculateur!V190*Calculateur!X190*VLOOKUP('Données projet'!$B$9,Paramètres!$A$1:$I$89,3,0)*0.475*44/12</f>
        <v>3.1027952476670444E-2</v>
      </c>
      <c r="AB190" s="23">
        <f>EXP(-LN(2)/2)*AB189+(1-EXP(-LN(2)/2))/(LN(2)/2)*V190*Y190*VLOOKUP('Données projet'!$B$9,Paramètres!$A$1:$I$89,3,0)*0.475*44/12</f>
        <v>6.0293232481746837E-24</v>
      </c>
      <c r="AC190" s="24">
        <f t="shared" si="163"/>
        <v>0.24358589844888859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293.33333333333491</v>
      </c>
      <c r="AN190" s="62">
        <f ca="1">AVERAGE(OFFSET($AM$3,0,0,'Données projet'!$E$10+1,1))-AVERAGE(OFFSET($H$3,0,0,'Données projet'!$E$10+1,1))</f>
        <v>165.12229410621887</v>
      </c>
      <c r="AO190" s="62">
        <f t="shared" si="144"/>
        <v>148.17171564653341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105.0919999999997</v>
      </c>
      <c r="D191" s="12">
        <f t="shared" si="140"/>
        <v>28.171567603815788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1028.7012236084001</v>
      </c>
      <c r="H191" s="70">
        <f t="shared" si="110"/>
        <v>525.43404690997863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215.01135052017145</v>
      </c>
      <c r="T191" s="62">
        <f t="shared" si="142"/>
        <v>136.68033570181791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0.20838981429924835</v>
      </c>
      <c r="AA191" s="23">
        <f>EXP(-LN(2)/25)*AA190+(1-EXP(-LN(2)/25))/(LN(2)/25)*Calculateur!V191*Calculateur!X191*VLOOKUP('Données projet'!$B$9,Paramètres!$A$1:$I$89,3,0)*0.475*44/12</f>
        <v>3.0179491484506785E-2</v>
      </c>
      <c r="AB191" s="23">
        <f>EXP(-LN(2)/2)*AB190+(1-EXP(-LN(2)/2))/(LN(2)/2)*V191*Y191*VLOOKUP('Données projet'!$B$9,Paramètres!$A$1:$I$89,3,0)*0.475*44/12</f>
        <v>4.26337535475002E-24</v>
      </c>
      <c r="AC191" s="24">
        <f t="shared" si="163"/>
        <v>0.23856930578375513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293.33333333333491</v>
      </c>
      <c r="AN191" s="62">
        <f ca="1">AVERAGE(OFFSET($AM$3,0,0,'Données projet'!$E$10+1,1))-AVERAGE(OFFSET($H$3,0,0,'Données projet'!$E$10+1,1))</f>
        <v>165.12229410621887</v>
      </c>
      <c r="AO191" s="62">
        <f t="shared" si="144"/>
        <v>148.17171564653341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105.6509999999997</v>
      </c>
      <c r="D192" s="12">
        <f t="shared" si="140"/>
        <v>28.303933062831472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1034.0380797832584</v>
      </c>
      <c r="H192" s="70">
        <f t="shared" si="110"/>
        <v>526.63817508443094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215.01135052017145</v>
      </c>
      <c r="T192" s="62">
        <f t="shared" si="142"/>
        <v>136.68033570181791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0.20430341714607622</v>
      </c>
      <c r="AA192" s="23">
        <f>EXP(-LN(2)/25)*AA191+(1-EXP(-LN(2)/25))/(LN(2)/25)*Calculateur!V192*Calculateur!X192*VLOOKUP('Données projet'!$B$9,Paramètres!$A$1:$I$89,3,0)*0.475*44/12</f>
        <v>2.9354231702792465E-2</v>
      </c>
      <c r="AB192" s="23">
        <f>EXP(-LN(2)/2)*AB191+(1-EXP(-LN(2)/2))/(LN(2)/2)*V192*Y192*VLOOKUP('Données projet'!$B$9,Paramètres!$A$1:$I$89,3,0)*0.475*44/12</f>
        <v>3.0146616240873419E-24</v>
      </c>
      <c r="AC192" s="24">
        <f t="shared" si="163"/>
        <v>0.23365764884886869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293.33333333333491</v>
      </c>
      <c r="AN192" s="62">
        <f ca="1">AVERAGE(OFFSET($AM$3,0,0,'Données projet'!$E$10+1,1))-AVERAGE(OFFSET($H$3,0,0,'Données projet'!$E$10+1,1))</f>
        <v>165.12229410621887</v>
      </c>
      <c r="AO192" s="62">
        <f t="shared" si="144"/>
        <v>148.17171564653341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106.2099999999997</v>
      </c>
      <c r="D193" s="12">
        <f t="shared" si="140"/>
        <v>28.436217026228405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1039.3743068691292</v>
      </c>
      <c r="H193" s="70">
        <f t="shared" si="110"/>
        <v>527.84216132068059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215.01135052017145</v>
      </c>
      <c r="T193" s="62">
        <f t="shared" si="142"/>
        <v>136.68033570181791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0.20029715174862164</v>
      </c>
      <c r="AA193" s="23">
        <f>EXP(-LN(2)/25)*AA192+(1-EXP(-LN(2)/25))/(LN(2)/25)*Calculateur!V193*Calculateur!X193*VLOOKUP('Données projet'!$B$9,Paramètres!$A$1:$I$89,3,0)*0.475*44/12</f>
        <v>2.8551538693207649E-2</v>
      </c>
      <c r="AB193" s="23">
        <f>EXP(-LN(2)/2)*AB192+(1-EXP(-LN(2)/2))/(LN(2)/2)*V193*Y193*VLOOKUP('Données projet'!$B$9,Paramètres!$A$1:$I$89,3,0)*0.475*44/12</f>
        <v>2.13168767737501E-24</v>
      </c>
      <c r="AC193" s="24">
        <f t="shared" si="163"/>
        <v>0.22884869044182929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293.33333333333491</v>
      </c>
      <c r="AN193" s="62">
        <f ca="1">AVERAGE(OFFSET($AM$3,0,0,'Données projet'!$E$10+1,1))-AVERAGE(OFFSET($H$3,0,0,'Données projet'!$E$10+1,1))</f>
        <v>165.12229410621887</v>
      </c>
      <c r="AO193" s="62">
        <f t="shared" si="144"/>
        <v>148.17171564653341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106.76899999999969</v>
      </c>
      <c r="D194" s="12">
        <f t="shared" si="140"/>
        <v>28.568419972715443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1044.7099085613097</v>
      </c>
      <c r="H194" s="70">
        <f t="shared" si="110"/>
        <v>529.04600645247888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215.01135052017145</v>
      </c>
      <c r="T194" s="62">
        <f t="shared" si="142"/>
        <v>136.68033570181791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0.19636944677203053</v>
      </c>
      <c r="AA194" s="23">
        <f>EXP(-LN(2)/25)*AA193+(1-EXP(-LN(2)/25))/(LN(2)/25)*Calculateur!V194*Calculateur!X194*VLOOKUP('Données projet'!$B$9,Paramètres!$A$1:$I$89,3,0)*0.475*44/12</f>
        <v>2.7770795366181721E-2</v>
      </c>
      <c r="AB194" s="23">
        <f>EXP(-LN(2)/2)*AB193+(1-EXP(-LN(2)/2))/(LN(2)/2)*V194*Y194*VLOOKUP('Données projet'!$B$9,Paramètres!$A$1:$I$89,3,0)*0.475*44/12</f>
        <v>1.5073308120436709E-24</v>
      </c>
      <c r="AC194" s="24">
        <f t="shared" si="163"/>
        <v>0.22414024213821224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293.33333333333491</v>
      </c>
      <c r="AN194" s="62">
        <f ca="1">AVERAGE(OFFSET($AM$3,0,0,'Données projet'!$E$10+1,1))-AVERAGE(OFFSET($H$3,0,0,'Données projet'!$E$10+1,1))</f>
        <v>165.12229410621887</v>
      </c>
      <c r="AO194" s="62">
        <f t="shared" si="144"/>
        <v>148.17171564653341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107.32799999999969</v>
      </c>
      <c r="D195" s="12">
        <f t="shared" si="140"/>
        <v>28.700542375698632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1050.0448885141625</v>
      </c>
      <c r="H195" s="70">
        <f t="shared" si="110"/>
        <v>530.24971130434119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215.01135052017145</v>
      </c>
      <c r="T195" s="62">
        <f t="shared" si="142"/>
        <v>136.68033570181791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0.19251876169436688</v>
      </c>
      <c r="AA195" s="23">
        <f>EXP(-LN(2)/25)*AA194+(1-EXP(-LN(2)/25))/(LN(2)/25)*Calculateur!V195*Calculateur!X195*VLOOKUP('Données projet'!$B$9,Paramètres!$A$1:$I$89,3,0)*0.475*44/12</f>
        <v>2.7011401506490826E-2</v>
      </c>
      <c r="AB195" s="23">
        <f>EXP(-LN(2)/2)*AB194+(1-EXP(-LN(2)/2))/(LN(2)/2)*V195*Y195*VLOOKUP('Données projet'!$B$9,Paramètres!$A$1:$I$89,3,0)*0.475*44/12</f>
        <v>1.065843838687505E-24</v>
      </c>
      <c r="AC195" s="24">
        <f t="shared" si="163"/>
        <v>0.21953016320085772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293.33333333333491</v>
      </c>
      <c r="AN195" s="62">
        <f ca="1">AVERAGE(OFFSET($AM$3,0,0,'Données projet'!$E$10+1,1))-AVERAGE(OFFSET($H$3,0,0,'Données projet'!$E$10+1,1))</f>
        <v>165.12229410621887</v>
      </c>
      <c r="AO195" s="62">
        <f t="shared" si="144"/>
        <v>148.17171564653341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107.88699999999969</v>
      </c>
      <c r="D196" s="12">
        <f t="shared" si="140"/>
        <v>28.832584703367186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1055.3792503417794</v>
      </c>
      <c r="H196" s="70">
        <f t="shared" ref="H196:H203" si="192">(B196+E196+F196)*44/12+(C196+D196)*0.475*44/12</f>
        <v>531.45327669169728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215.01135052017145</v>
      </c>
      <c r="T196" s="62">
        <f t="shared" si="142"/>
        <v>136.68033570181791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0.18874358620239023</v>
      </c>
      <c r="AA196" s="23">
        <f>EXP(-LN(2)/25)*AA195+(1-EXP(-LN(2)/25))/(LN(2)/25)*Calculateur!V196*Calculateur!X196*VLOOKUP('Données projet'!$B$9,Paramètres!$A$1:$I$89,3,0)*0.475*44/12</f>
        <v>2.6272773311827965E-2</v>
      </c>
      <c r="AB196" s="23">
        <f>EXP(-LN(2)/2)*AB195+(1-EXP(-LN(2)/2))/(LN(2)/2)*V196*Y196*VLOOKUP('Données projet'!$B$9,Paramètres!$A$1:$I$89,3,0)*0.475*44/12</f>
        <v>7.5366540602183547E-25</v>
      </c>
      <c r="AC196" s="24">
        <f t="shared" si="163"/>
        <v>0.21501635951421821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293.33333333333491</v>
      </c>
      <c r="AN196" s="62">
        <f ca="1">AVERAGE(OFFSET($AM$3,0,0,'Données projet'!$E$10+1,1))-AVERAGE(OFFSET($H$3,0,0,'Données projet'!$E$10+1,1))</f>
        <v>165.12229410621887</v>
      </c>
      <c r="AO196" s="62">
        <f t="shared" si="144"/>
        <v>148.17171564653341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108.44599999999969</v>
      </c>
      <c r="D197" s="12">
        <f t="shared" ref="D197:D203" si="202">IFERROR(EXP(-1.0587+0.8836*LN(C197)+0.284),0)</f>
        <v>28.964547418777748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1060.7129976186329</v>
      </c>
      <c r="H197" s="70">
        <f t="shared" si="192"/>
        <v>532.65670342103738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215.01135052017145</v>
      </c>
      <c r="T197" s="62">
        <f t="shared" ref="T197:T203" si="204">$T$3</f>
        <v>136.68033570181791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0.18504243959918157</v>
      </c>
      <c r="AA197" s="23">
        <f>EXP(-LN(2)/25)*AA196+(1-EXP(-LN(2)/25))/(LN(2)/25)*Calculateur!V197*Calculateur!X197*VLOOKUP('Données projet'!$B$9,Paramètres!$A$1:$I$89,3,0)*0.475*44/12</f>
        <v>2.5554342943990928E-2</v>
      </c>
      <c r="AB197" s="23">
        <f>EXP(-LN(2)/2)*AB196+(1-EXP(-LN(2)/2))/(LN(2)/2)*V197*Y197*VLOOKUP('Données projet'!$B$9,Paramètres!$A$1:$I$89,3,0)*0.475*44/12</f>
        <v>5.329219193437525E-25</v>
      </c>
      <c r="AC197" s="24">
        <f t="shared" si="163"/>
        <v>0.21059678254317249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293.33333333333491</v>
      </c>
      <c r="AN197" s="62">
        <f ca="1">AVERAGE(OFFSET($AM$3,0,0,'Données projet'!$E$10+1,1))-AVERAGE(OFFSET($H$3,0,0,'Données projet'!$E$10+1,1))</f>
        <v>165.12229410621887</v>
      </c>
      <c r="AO197" s="62">
        <f t="shared" ref="AO197:AO203" si="205">$AO$3</f>
        <v>148.17171564653341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109.00499999999968</v>
      </c>
      <c r="D198" s="12">
        <f t="shared" si="202"/>
        <v>29.096430979936777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1066.0461338802113</v>
      </c>
      <c r="H198" s="70">
        <f t="shared" si="192"/>
        <v>533.85999229005597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215.01135052017145</v>
      </c>
      <c r="T198" s="62">
        <f t="shared" si="204"/>
        <v>136.68033570181791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0.18141387022338532</v>
      </c>
      <c r="AA198" s="23">
        <f>EXP(-LN(2)/25)*AA197+(1-EXP(-LN(2)/25))/(LN(2)/25)*Calculateur!V198*Calculateur!X198*VLOOKUP('Données projet'!$B$9,Paramètres!$A$1:$I$89,3,0)*0.475*44/12</f>
        <v>2.4855558092343005E-2</v>
      </c>
      <c r="AB198" s="23">
        <f>EXP(-LN(2)/2)*AB197+(1-EXP(-LN(2)/2))/(LN(2)/2)*V198*Y198*VLOOKUP('Données projet'!$B$9,Paramètres!$A$1:$I$89,3,0)*0.475*44/12</f>
        <v>3.7683270301091773E-25</v>
      </c>
      <c r="AC198" s="24">
        <f t="shared" si="163"/>
        <v>0.20626942831572831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293.33333333333491</v>
      </c>
      <c r="AN198" s="62">
        <f ca="1">AVERAGE(OFFSET($AM$3,0,0,'Données projet'!$E$10+1,1))-AVERAGE(OFFSET($H$3,0,0,'Données projet'!$E$10+1,1))</f>
        <v>165.12229410621887</v>
      </c>
      <c r="AO198" s="62">
        <f t="shared" si="205"/>
        <v>148.17171564653341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109.56399999999968</v>
      </c>
      <c r="D199" s="12">
        <f t="shared" si="202"/>
        <v>29.228235839881293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1071.3786626236426</v>
      </c>
      <c r="H199" s="70">
        <f t="shared" si="192"/>
        <v>535.06314408779258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215.01135052017145</v>
      </c>
      <c r="T199" s="62">
        <f t="shared" si="204"/>
        <v>136.68033570181791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0.17785645487983964</v>
      </c>
      <c r="AA199" s="23">
        <f>EXP(-LN(2)/25)*AA198+(1-EXP(-LN(2)/25))/(LN(2)/25)*Calculateur!V199*Calculateur!X199*VLOOKUP('Données projet'!$B$9,Paramètres!$A$1:$I$89,3,0)*0.475*44/12</f>
        <v>2.4175881549210892E-2</v>
      </c>
      <c r="AB199" s="23">
        <f>EXP(-LN(2)/2)*AB198+(1-EXP(-LN(2)/2))/(LN(2)/2)*V199*Y199*VLOOKUP('Données projet'!$B$9,Paramètres!$A$1:$I$89,3,0)*0.475*44/12</f>
        <v>2.6646095967187625E-25</v>
      </c>
      <c r="AC199" s="24">
        <f t="shared" si="163"/>
        <v>0.20203233642905052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293.33333333333491</v>
      </c>
      <c r="AN199" s="62">
        <f ca="1">AVERAGE(OFFSET($AM$3,0,0,'Données projet'!$E$10+1,1))-AVERAGE(OFFSET($H$3,0,0,'Données projet'!$E$10+1,1))</f>
        <v>165.12229410621887</v>
      </c>
      <c r="AO199" s="62">
        <f t="shared" si="205"/>
        <v>148.17171564653341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110.12299999999968</v>
      </c>
      <c r="D200" s="12">
        <f t="shared" si="202"/>
        <v>29.359962446757773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1076.7105873083033</v>
      </c>
      <c r="H200" s="70">
        <f t="shared" si="192"/>
        <v>536.26615959476919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215.01135052017145</v>
      </c>
      <c r="T200" s="62">
        <f t="shared" si="204"/>
        <v>136.68033570181791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0.17436879828137178</v>
      </c>
      <c r="AA200" s="23">
        <f>EXP(-LN(2)/25)*AA199+(1-EXP(-LN(2)/25))/(LN(2)/25)*Calculateur!V200*Calculateur!X200*VLOOKUP('Données projet'!$B$9,Paramètres!$A$1:$I$89,3,0)*0.475*44/12</f>
        <v>2.3514790796893364E-2</v>
      </c>
      <c r="AB200" s="23">
        <f>EXP(-LN(2)/2)*AB199+(1-EXP(-LN(2)/2))/(LN(2)/2)*V200*Y200*VLOOKUP('Données projet'!$B$9,Paramètres!$A$1:$I$89,3,0)*0.475*44/12</f>
        <v>1.8841635150545887E-25</v>
      </c>
      <c r="AC200" s="24">
        <f t="shared" si="163"/>
        <v>0.19788358907826514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293.33333333333491</v>
      </c>
      <c r="AN200" s="62">
        <f ca="1">AVERAGE(OFFSET($AM$3,0,0,'Données projet'!$E$10+1,1))-AVERAGE(OFFSET($H$3,0,0,'Données projet'!$E$10+1,1))</f>
        <v>165.12229410621887</v>
      </c>
      <c r="AO200" s="62">
        <f t="shared" si="205"/>
        <v>148.17171564653341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110.68199999999968</v>
      </c>
      <c r="D201" s="12">
        <f t="shared" si="202"/>
        <v>29.491611243899612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1082.0419113564158</v>
      </c>
      <c r="H201" s="70">
        <f t="shared" si="192"/>
        <v>537.46903958312464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215.01135052017145</v>
      </c>
      <c r="T201" s="62">
        <f t="shared" si="204"/>
        <v>136.68033570181791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0.17094953250153941</v>
      </c>
      <c r="AA201" s="23">
        <f>EXP(-LN(2)/25)*AA200+(1-EXP(-LN(2)/25))/(LN(2)/25)*Calculateur!V201*Calculateur!X201*VLOOKUP('Données projet'!$B$9,Paramètres!$A$1:$I$89,3,0)*0.475*44/12</f>
        <v>2.287177760596321E-2</v>
      </c>
      <c r="AB201" s="23">
        <f>EXP(-LN(2)/2)*AB200+(1-EXP(-LN(2)/2))/(LN(2)/2)*V201*Y201*VLOOKUP('Données projet'!$B$9,Paramètres!$A$1:$I$89,3,0)*0.475*44/12</f>
        <v>1.3323047983593813E-25</v>
      </c>
      <c r="AC201" s="24">
        <f t="shared" si="163"/>
        <v>0.19382131010750261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293.33333333333491</v>
      </c>
      <c r="AN201" s="62">
        <f ca="1">AVERAGE(OFFSET($AM$3,0,0,'Données projet'!$E$10+1,1))-AVERAGE(OFFSET($H$3,0,0,'Données projet'!$E$10+1,1))</f>
        <v>165.12229410621887</v>
      </c>
      <c r="AO201" s="62">
        <f t="shared" si="205"/>
        <v>148.17171564653341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111.24099999999967</v>
      </c>
      <c r="D202" s="12">
        <f t="shared" si="202"/>
        <v>29.623182669902725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1087.3726381536326</v>
      </c>
      <c r="H202" s="70">
        <f t="shared" si="192"/>
        <v>538.67178481674659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215.01135052017145</v>
      </c>
      <c r="T202" s="62">
        <f t="shared" si="204"/>
        <v>136.68033570181791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0.16759731643810336</v>
      </c>
      <c r="AA202" s="23">
        <f>EXP(-LN(2)/25)*AA201+(1-EXP(-LN(2)/25))/(LN(2)/25)*Calculateur!V202*Calculateur!X202*VLOOKUP('Données projet'!$B$9,Paramètres!$A$1:$I$89,3,0)*0.475*44/12</f>
        <v>2.2246347644553636E-2</v>
      </c>
      <c r="AB202" s="23">
        <f>EXP(-LN(2)/2)*AB201+(1-EXP(-LN(2)/2))/(LN(2)/2)*V202*Y202*VLOOKUP('Données projet'!$B$9,Paramètres!$A$1:$I$89,3,0)*0.475*44/12</f>
        <v>9.4208175752729433E-26</v>
      </c>
      <c r="AC202" s="24">
        <f t="shared" si="163"/>
        <v>0.18984366408265699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293.33333333333491</v>
      </c>
      <c r="AN202" s="62">
        <f ca="1">AVERAGE(OFFSET($AM$3,0,0,'Données projet'!$E$10+1,1))-AVERAGE(OFFSET($H$3,0,0,'Données projet'!$E$10+1,1))</f>
        <v>165.12229410621887</v>
      </c>
      <c r="AO202" s="62">
        <f t="shared" si="205"/>
        <v>148.17171564653341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111.79999999999967</v>
      </c>
      <c r="D203" s="12">
        <f t="shared" si="202"/>
        <v>29.754677158699842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1092.7027710496104</v>
      </c>
      <c r="H203" s="70">
        <f t="shared" si="192"/>
        <v>539.87439605140162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215.01135052017145</v>
      </c>
      <c r="T203" s="62">
        <f t="shared" si="204"/>
        <v>136.68033570181791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0.16431083528702137</v>
      </c>
      <c r="AA203" s="23">
        <f>EXP(-LN(2)/25)*AA202+(1-EXP(-LN(2)/25))/(LN(2)/25)*Calculateur!V203*Calculateur!X203*VLOOKUP('Données projet'!$B$9,Paramètres!$A$1:$I$89,3,0)*0.475*44/12</f>
        <v>2.1638020098328738E-2</v>
      </c>
      <c r="AB203" s="23">
        <f>EXP(-LN(2)/2)*AB202+(1-EXP(-LN(2)/2))/(LN(2)/2)*V203*Y203*VLOOKUP('Données projet'!$B$9,Paramètres!$A$1:$I$89,3,0)*0.475*44/12</f>
        <v>6.6615239917969063E-26</v>
      </c>
      <c r="AC203" s="24">
        <f t="shared" si="163"/>
        <v>0.18594885538535011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293.33333333333491</v>
      </c>
      <c r="AN203" s="62">
        <f ca="1">AVERAGE(OFFSET($AM$3,0,0,'Données projet'!$E$10+1,1))-AVERAGE(OFFSET($H$3,0,0,'Données projet'!$E$10+1,1))</f>
        <v>165.12229410621887</v>
      </c>
      <c r="AO203" s="62">
        <f t="shared" si="205"/>
        <v>148.17171564653341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1.1932635389591795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30" sqref="M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2.5</v>
      </c>
      <c r="C6" s="156">
        <f ca="1">IF(OR('Données projet'!B9="",'Données projet'!C9="",'Données projet'!C9=0%),0,Calculateur!S3)</f>
        <v>215.01135052017145</v>
      </c>
      <c r="D6" s="156">
        <f>IF(OR('Données projet'!B9="",'Données projet'!C9="",'Données projet'!C9=0%),0,Calculateur!T3)</f>
        <v>136.68033570181791</v>
      </c>
      <c r="E6" s="156">
        <f ca="1">MIN(C6,D6)</f>
        <v>136.68033570181791</v>
      </c>
      <c r="F6" s="156">
        <f ca="1">E6*B6</f>
        <v>341.7008392545448</v>
      </c>
      <c r="G6" s="156">
        <f ca="1">F6*(100%-'Données projet'!$C$24)*(100%-'Données projet'!$C$25)*(100%-'Données projet'!$C$26)*(100%-'Données projet'!$C$27)</f>
        <v>276.7776797961813</v>
      </c>
      <c r="H6" s="157">
        <f>IF(OR('Données projet'!B9="",'Données projet'!C9="",'Données projet'!C9=0%),0,AVERAGE(Calculateur!$AC$3:$AC$33)*B6)</f>
        <v>2.2394973074706108</v>
      </c>
      <c r="I6" s="158">
        <f>H6*(100%-'Données projet'!$C$24)*(100%-'Données projet'!$C$25)*(100%-'Données projet'!$C$26)*(100%-'Données projet'!$C$27)</f>
        <v>1.8139928190511951</v>
      </c>
      <c r="J6" s="159">
        <f>IF(OR('Données projet'!B9="",'Données projet'!C9="",'Données projet'!C9=0%),0,SUM(Calculateur!$V$3:$V$33)*VLOOKUP('Données projet'!$B$9,Paramètres!$A$1:$I$89,9,0)*B6)</f>
        <v>30.099999999999998</v>
      </c>
      <c r="K6" s="160">
        <f>J6*(100%-'Données projet'!$C$24)*(100%-'Données projet'!$C$25)*(100%-'Données projet'!$C$26)*(100%-'Données projet'!$C$27)</f>
        <v>24.381</v>
      </c>
      <c r="L6" s="161">
        <f ca="1">G6+I6+K6</f>
        <v>302.97267261523245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2.5</v>
      </c>
      <c r="C7" s="156">
        <f ca="1">IF(OR('Données projet'!B10="",'Données projet'!C10="",'Données projet'!C10=0%),0,Calculateur!AN3)</f>
        <v>165.12229410621887</v>
      </c>
      <c r="D7" s="156">
        <f>IF(OR('Données projet'!B10="",'Données projet'!C10="",'Données projet'!C10=0%),0,Calculateur!AO3)</f>
        <v>148.17171564653341</v>
      </c>
      <c r="E7" s="156">
        <f t="shared" ref="E7:E15" ca="1" si="0">MIN(C7,D7)</f>
        <v>148.17171564653341</v>
      </c>
      <c r="F7" s="156">
        <f t="shared" ref="F7:F15" ca="1" si="1">E7*B7</f>
        <v>370.42928911633351</v>
      </c>
      <c r="G7" s="156">
        <f ca="1">F7*(100%-'Données projet'!$C$24)*(100%-'Données projet'!$C$25)*(100%-'Données projet'!$C$26)*(100%-'Données projet'!$C$27)</f>
        <v>300.04772418423016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300.04772418423016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712.13012837087831</v>
      </c>
      <c r="G16" s="175">
        <f t="shared" ca="1" si="3"/>
        <v>576.82540398041147</v>
      </c>
      <c r="H16" s="176">
        <f t="shared" si="3"/>
        <v>2.2394973074706108</v>
      </c>
      <c r="I16" s="176">
        <f t="shared" si="3"/>
        <v>1.8139928190511951</v>
      </c>
      <c r="J16" s="177">
        <f t="shared" si="3"/>
        <v>30.099999999999998</v>
      </c>
      <c r="K16" s="177">
        <f t="shared" si="3"/>
        <v>24.381</v>
      </c>
      <c r="L16" s="178">
        <f t="shared" ca="1" si="3"/>
        <v>603.02039679946256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63" sqref="C6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1324.4606514484394</v>
      </c>
      <c r="U10" s="190">
        <f>'Données projet'!D9</f>
        <v>2.5</v>
      </c>
      <c r="V10" s="189">
        <f>U10*T10</f>
        <v>3311.1516286210986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847.069465824757</v>
      </c>
      <c r="U11" s="190">
        <f>'Données projet'!D10</f>
        <v>2.5</v>
      </c>
      <c r="V11" s="189">
        <f t="shared" ref="V11" si="0">U11*T11</f>
        <v>2117.6736645618926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69.999999999999972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50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3499.9999999999986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1887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1887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1887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27</v>
      </c>
      <c r="B23" s="193">
        <f>'Données projet'!D36</f>
        <v>15</v>
      </c>
      <c r="C23" s="206">
        <v>5</v>
      </c>
      <c r="D23" s="194">
        <f>B23*C23</f>
        <v>75</v>
      </c>
      <c r="E23" s="206"/>
      <c r="F23" s="261"/>
      <c r="H23" s="203">
        <v>3</v>
      </c>
      <c r="I23" s="204">
        <v>1887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-29942.653389971056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13</v>
      </c>
      <c r="C24" s="206">
        <v>10</v>
      </c>
      <c r="D24" s="194">
        <f t="shared" ref="D24:D42" si="2">B24*C24</f>
        <v>130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803.33690248765379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23</v>
      </c>
      <c r="C25" s="206">
        <v>15</v>
      </c>
      <c r="D25" s="194">
        <f t="shared" si="2"/>
        <v>345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-30745.990292458708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34</v>
      </c>
      <c r="C26" s="206">
        <v>20</v>
      </c>
      <c r="D26" s="194">
        <f t="shared" si="2"/>
        <v>680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79</v>
      </c>
      <c r="C27" s="206">
        <v>25</v>
      </c>
      <c r="D27" s="194">
        <f t="shared" si="2"/>
        <v>1975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60</v>
      </c>
      <c r="B28" s="193">
        <f>'Données projet'!D41</f>
        <v>88</v>
      </c>
      <c r="C28" s="206">
        <v>30</v>
      </c>
      <c r="D28" s="194">
        <f t="shared" si="2"/>
        <v>2640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70</v>
      </c>
      <c r="B29" s="193">
        <f>'Données projet'!D42</f>
        <v>78</v>
      </c>
      <c r="C29" s="206">
        <v>35</v>
      </c>
      <c r="D29" s="194">
        <f t="shared" si="2"/>
        <v>2730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80</v>
      </c>
      <c r="B30" s="193">
        <f>'Données projet'!D43</f>
        <v>460</v>
      </c>
      <c r="C30" s="206">
        <v>40</v>
      </c>
      <c r="D30" s="194">
        <f t="shared" si="2"/>
        <v>18400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04">
        <v>20</v>
      </c>
      <c r="D56" s="191">
        <f t="shared" si="4"/>
        <v>1260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>
        <v>25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04">
        <v>30</v>
      </c>
      <c r="D58" s="191">
        <f t="shared" si="4"/>
        <v>2010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04">
        <v>35</v>
      </c>
      <c r="D59" s="191">
        <f t="shared" si="4"/>
        <v>2415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04">
        <v>40</v>
      </c>
      <c r="D60" s="191">
        <f t="shared" si="4"/>
        <v>2840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04">
        <v>45</v>
      </c>
      <c r="D61" s="191">
        <f t="shared" si="4"/>
        <v>3285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04">
        <v>50</v>
      </c>
      <c r="D62" s="191">
        <f t="shared" si="4"/>
        <v>18750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2023-10-13T08:49:59Z</dcterms:modified>
</cp:coreProperties>
</file>