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eane.CORNU\Nextcloud\Projets carbone Nouvelle Aquitaine\Mr DE CHENERILLES - Landiras - Reconstitution\Montage\"/>
    </mc:Choice>
  </mc:AlternateContent>
  <bookViews>
    <workbookView xWindow="0" yWindow="0" windowWidth="19200" windowHeight="975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1" i="1" l="1"/>
  <c r="D120" i="1"/>
  <c r="B120" i="1"/>
  <c r="B119" i="1"/>
  <c r="D118" i="1"/>
  <c r="B118" i="1"/>
  <c r="B117" i="1"/>
  <c r="D116" i="1"/>
  <c r="B116" i="1"/>
  <c r="B115" i="1"/>
  <c r="D90" i="1" l="1"/>
  <c r="B90" i="1"/>
  <c r="B89" i="1"/>
  <c r="D69" i="1" l="1"/>
  <c r="C99" i="6" l="1"/>
  <c r="D10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HG20" i="2"/>
  <c r="FS20" i="2"/>
  <c r="HH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H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H163" i="2"/>
  <c r="EV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W192" i="2"/>
  <c r="HG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HH199" i="2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35" i="2" a="1"/>
  <c r="FY35" i="2" s="1"/>
  <c r="FY29" i="2" a="1"/>
  <c r="FY29" i="2" s="1"/>
  <c r="FY120" i="2" a="1"/>
  <c r="FY120" i="2" s="1"/>
  <c r="FY69" i="2" a="1"/>
  <c r="FY69" i="2" s="1"/>
  <c r="FY102" i="2" a="1"/>
  <c r="FY102" i="2" s="1"/>
  <c r="FY159" i="2" a="1"/>
  <c r="FY159" i="2" s="1"/>
  <c r="FY186" i="2" a="1"/>
  <c r="FY186" i="2" s="1"/>
  <c r="FY152" i="2" a="1"/>
  <c r="FY152" i="2" s="1"/>
  <c r="FY99" i="2" a="1"/>
  <c r="FY99" i="2" s="1"/>
  <c r="FY78" i="2" a="1"/>
  <c r="FY78" i="2" s="1"/>
  <c r="FY28" i="2" a="1"/>
  <c r="FY28" i="2" s="1"/>
  <c r="AH92" i="2" a="1"/>
  <c r="AH92" i="2" s="1"/>
  <c r="FY190" i="2" a="1"/>
  <c r="FY190" i="2" s="1"/>
  <c r="FY62" i="2" a="1"/>
  <c r="FY62" i="2" s="1"/>
  <c r="FY164" i="2" a="1"/>
  <c r="FY164" i="2" s="1"/>
  <c r="FY104" i="2" a="1"/>
  <c r="FY104" i="2" s="1"/>
  <c r="FY172" i="2" a="1"/>
  <c r="FY17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29" i="2" a="1"/>
  <c r="EI29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6" i="2" a="1"/>
  <c r="AH166" i="2" s="1"/>
  <c r="AH163" i="2" a="1"/>
  <c r="AH163" i="2" s="1"/>
  <c r="AH151" i="2" a="1"/>
  <c r="AH151" i="2" s="1"/>
  <c r="BC31" i="2" a="1"/>
  <c r="BC31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BC65" i="2" a="1"/>
  <c r="BC65" i="2" s="1"/>
  <c r="FY146" i="2" a="1"/>
  <c r="FY146" i="2" s="1"/>
  <c r="FY79" i="2" a="1"/>
  <c r="FY79" i="2" s="1"/>
  <c r="BC164" i="2" a="1"/>
  <c r="BC164" i="2" s="1"/>
  <c r="EI198" i="2" a="1"/>
  <c r="EI198" i="2" s="1"/>
  <c r="BC82" i="2" a="1"/>
  <c r="BC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BC83" i="2" a="1"/>
  <c r="BC83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BC18" i="2" a="1"/>
  <c r="BC18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BC84" i="2" a="1"/>
  <c r="BC84" i="2" s="1"/>
  <c r="BC114" i="2" a="1"/>
  <c r="BC114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85" i="2" a="1"/>
  <c r="BC185" i="2" s="1"/>
  <c r="BC117" i="2" a="1"/>
  <c r="BC117" i="2" s="1"/>
  <c r="BC58" i="2" a="1"/>
  <c r="BC58" i="2" s="1"/>
  <c r="BC7" i="2" a="1"/>
  <c r="BC7" i="2" s="1"/>
  <c r="BC130" i="2" a="1"/>
  <c r="BC130" i="2" s="1"/>
  <c r="BC143" i="2" a="1"/>
  <c r="BC143" i="2" s="1"/>
  <c r="BC181" i="2" a="1"/>
  <c r="BC181" i="2" s="1"/>
  <c r="BC34" i="2" a="1"/>
  <c r="BC3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42" i="2" l="1"/>
  <c r="CD77" i="2"/>
  <c r="CD95" i="2"/>
  <c r="CD154" i="2"/>
  <c r="CD147" i="2"/>
  <c r="CD62" i="2"/>
  <c r="CD30" i="2"/>
  <c r="CD149" i="2"/>
  <c r="CD162" i="2"/>
  <c r="CD135" i="2"/>
  <c r="CD36" i="2"/>
  <c r="CD132" i="2"/>
  <c r="CD163" i="2"/>
  <c r="CD131" i="2"/>
  <c r="CD126" i="2"/>
  <c r="CD41" i="2"/>
  <c r="CD20" i="2"/>
  <c r="CD142" i="2"/>
  <c r="CD102" i="2"/>
  <c r="CD70" i="2"/>
  <c r="CD38" i="2"/>
  <c r="CD26" i="2"/>
  <c r="CD118" i="2"/>
  <c r="CD65" i="2"/>
  <c r="CD56" i="2"/>
  <c r="CD195" i="2"/>
  <c r="CD91" i="2"/>
  <c r="CD202" i="2"/>
  <c r="CD19" i="2"/>
  <c r="CD109" i="2"/>
  <c r="CD129" i="2"/>
  <c r="CD98" i="2"/>
  <c r="CD199" i="2"/>
  <c r="CD194" i="2"/>
  <c r="CD171" i="2"/>
  <c r="CD177" i="2"/>
  <c r="CD117" i="2"/>
  <c r="CD168" i="2"/>
  <c r="CD13" i="2"/>
  <c r="CD157" i="2"/>
  <c r="CD165" i="2"/>
  <c r="CD185" i="2"/>
  <c r="CD72" i="2"/>
  <c r="CD200" i="2"/>
  <c r="CD119" i="2"/>
  <c r="CD6" i="2"/>
  <c r="CD155" i="2"/>
  <c r="CD164" i="2"/>
  <c r="CD60" i="2"/>
  <c r="CD125" i="2"/>
  <c r="CD69" i="2"/>
  <c r="CD187" i="2"/>
  <c r="CD197" i="2"/>
  <c r="CD16" i="2"/>
  <c r="CD11" i="2"/>
  <c r="CD14" i="2"/>
  <c r="CD159" i="2"/>
  <c r="CD188" i="2"/>
  <c r="CD196" i="2"/>
  <c r="CD25" i="2"/>
  <c r="CD78" i="2"/>
  <c r="CD115" i="2"/>
  <c r="CD143" i="2"/>
  <c r="CD37" i="2"/>
  <c r="CD21" i="2"/>
  <c r="CD167" i="2"/>
  <c r="CD191" i="2"/>
  <c r="CD201" i="2"/>
  <c r="CD28" i="2"/>
  <c r="CD136" i="2"/>
  <c r="CD158" i="2"/>
  <c r="CD68" i="2"/>
  <c r="CD8" i="2"/>
  <c r="CD156" i="2"/>
  <c r="CD97" i="2"/>
  <c r="CD82" i="2"/>
  <c r="CD52" i="2"/>
  <c r="CD173" i="2"/>
  <c r="CD74" i="2"/>
  <c r="CD114" i="2"/>
  <c r="CD17" i="2"/>
  <c r="CD44" i="2"/>
  <c r="CD128" i="2"/>
  <c r="CD178" i="2"/>
  <c r="CD104" i="2"/>
  <c r="CD73" i="2"/>
  <c r="CD180" i="2"/>
  <c r="CD152" i="2"/>
  <c r="CD7" i="2"/>
  <c r="CD32" i="2"/>
  <c r="CD184" i="2"/>
  <c r="CD166" i="2"/>
  <c r="CD190" i="2"/>
  <c r="CD51" i="2"/>
  <c r="CD34" i="2"/>
  <c r="CD175" i="2"/>
  <c r="CD123" i="2"/>
  <c r="CD33" i="2"/>
  <c r="CD145" i="2"/>
  <c r="CD45" i="2"/>
  <c r="CD160" i="2"/>
  <c r="CD75" i="2"/>
  <c r="CD170" i="2"/>
  <c r="CD172" i="2"/>
  <c r="CD203" i="2"/>
  <c r="CD124" i="2"/>
  <c r="CD15" i="2"/>
  <c r="CD122" i="2"/>
  <c r="CD182" i="2"/>
  <c r="CD150" i="2"/>
  <c r="CD96" i="2"/>
  <c r="CD43" i="2"/>
  <c r="CD93" i="2"/>
  <c r="CD116" i="2"/>
  <c r="CD90" i="2"/>
  <c r="CD193" i="2"/>
  <c r="CD148" i="2"/>
  <c r="CD66" i="2"/>
  <c r="CD169" i="2"/>
  <c r="CD24" i="2"/>
  <c r="CD137" i="2"/>
  <c r="CD59" i="2"/>
  <c r="CD39" i="2"/>
  <c r="CD27" i="2"/>
  <c r="CD99" i="2"/>
  <c r="CD92" i="2"/>
  <c r="CD46" i="2"/>
  <c r="CD89" i="2"/>
  <c r="CD94" i="2"/>
  <c r="CD79" i="2"/>
  <c r="CD140" i="2"/>
  <c r="CD113" i="2"/>
  <c r="CD83" i="2"/>
  <c r="CD61" i="2"/>
  <c r="CD47" i="2"/>
  <c r="CD3" i="2"/>
  <c r="C9" i="4" s="1"/>
  <c r="E9" i="4" s="1"/>
  <c r="F9" i="4" s="1"/>
  <c r="G9" i="4" s="1"/>
  <c r="L9" i="4" s="1"/>
  <c r="CD88" i="2"/>
  <c r="CD121" i="2"/>
  <c r="CD10" i="2"/>
  <c r="CD63" i="2"/>
  <c r="CD141" i="2"/>
  <c r="CD139" i="2"/>
  <c r="CD144" i="2"/>
  <c r="CD18" i="2"/>
  <c r="CD87" i="2"/>
  <c r="CD183" i="2"/>
  <c r="CD23" i="2"/>
  <c r="CD84" i="2"/>
  <c r="CD101" i="2"/>
  <c r="CD103" i="2"/>
  <c r="CD29" i="2"/>
  <c r="CD198" i="2"/>
  <c r="CD181" i="2"/>
  <c r="CD107" i="2"/>
  <c r="CD86" i="2"/>
  <c r="CD12" i="2"/>
  <c r="CD120" i="2"/>
  <c r="CD57" i="2"/>
  <c r="CD80" i="2"/>
  <c r="CD48" i="2"/>
  <c r="CD161" i="2"/>
  <c r="CD153" i="2"/>
  <c r="CD176" i="2"/>
  <c r="CD76" i="2"/>
  <c r="CD81" i="2"/>
  <c r="CD64" i="2"/>
  <c r="CD110" i="2"/>
  <c r="CD130" i="2"/>
  <c r="CD50" i="2"/>
  <c r="CD192" i="2"/>
  <c r="CD5" i="2"/>
  <c r="CD53" i="2"/>
  <c r="CD174" i="2"/>
  <c r="CD71" i="2"/>
  <c r="CD9" i="2"/>
  <c r="CD112" i="2"/>
  <c r="CD22" i="2"/>
  <c r="CD133" i="2"/>
  <c r="CD186" i="2"/>
  <c r="CD55" i="2"/>
  <c r="CD54" i="2"/>
  <c r="CD127" i="2"/>
  <c r="CD138" i="2"/>
  <c r="CD85" i="2"/>
  <c r="CD4" i="2"/>
  <c r="CD58" i="2"/>
  <c r="CD106" i="2"/>
  <c r="CD189" i="2"/>
  <c r="CD105" i="2"/>
  <c r="CD134" i="2"/>
  <c r="CD108" i="2"/>
  <c r="CD31" i="2"/>
  <c r="CD151" i="2"/>
  <c r="CD40" i="2"/>
  <c r="CD35" i="2"/>
  <c r="CD146" i="2"/>
  <c r="CD49" i="2"/>
  <c r="CD111" i="2"/>
  <c r="CD179" i="2"/>
  <c r="CD100" i="2"/>
  <c r="CD6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6" i="2" l="1"/>
  <c r="BI47" i="2"/>
  <c r="BI72" i="2"/>
  <c r="BI70" i="2"/>
  <c r="BI20" i="2"/>
  <c r="BI75" i="2"/>
  <c r="BI61" i="2"/>
  <c r="BI135" i="2"/>
  <c r="BI190" i="2"/>
  <c r="BI37" i="2"/>
  <c r="BI197" i="2"/>
  <c r="BI130" i="2"/>
  <c r="BI134" i="2"/>
  <c r="BI201" i="2"/>
  <c r="BI145" i="2"/>
  <c r="BI52" i="2"/>
  <c r="BI76" i="2"/>
  <c r="BI178" i="2"/>
  <c r="BI19" i="2"/>
  <c r="BI132" i="2"/>
  <c r="BI152" i="2"/>
  <c r="BI40" i="2"/>
  <c r="BI191" i="2"/>
  <c r="BI96" i="2"/>
  <c r="BI192" i="2"/>
  <c r="BI90" i="2"/>
  <c r="BI7" i="2"/>
  <c r="BI9" i="2"/>
  <c r="BI198" i="2"/>
  <c r="BI56" i="2"/>
  <c r="BI26" i="2"/>
  <c r="BI179" i="2"/>
  <c r="BI139" i="2"/>
  <c r="BI63" i="2"/>
  <c r="BI31" i="2"/>
  <c r="BI157" i="2"/>
  <c r="BI111" i="2"/>
  <c r="BI155" i="2"/>
  <c r="BI116" i="2"/>
  <c r="BI44" i="2"/>
  <c r="BI50" i="2"/>
  <c r="BI105" i="2"/>
  <c r="BI13" i="2"/>
  <c r="BI184" i="2"/>
  <c r="BI159" i="2"/>
  <c r="BI168" i="2"/>
  <c r="BI35" i="2"/>
  <c r="BI150" i="2"/>
  <c r="BI60" i="2"/>
  <c r="BI39" i="2"/>
  <c r="BI164" i="2"/>
  <c r="BI160" i="2"/>
  <c r="BI103" i="2"/>
  <c r="BI87" i="2"/>
  <c r="BI125" i="2"/>
  <c r="BI187" i="2"/>
  <c r="BI144" i="2"/>
  <c r="BI57" i="2"/>
  <c r="BI115" i="2"/>
  <c r="BI36" i="2"/>
  <c r="BI108" i="2"/>
  <c r="BI147" i="2"/>
  <c r="BI163" i="2"/>
  <c r="BI167" i="2"/>
  <c r="BI119" i="2"/>
  <c r="BI161" i="2"/>
  <c r="BI180" i="2"/>
  <c r="BI112" i="2"/>
  <c r="BI80" i="2"/>
  <c r="BI30" i="2"/>
  <c r="BI69" i="2"/>
  <c r="BI104" i="2"/>
  <c r="BI128" i="2"/>
  <c r="BI14" i="2"/>
  <c r="BI114" i="2"/>
  <c r="BI148" i="2"/>
  <c r="BI33" i="2"/>
  <c r="BI12" i="2"/>
  <c r="BI68" i="2"/>
  <c r="BI38" i="2"/>
  <c r="BI58" i="2"/>
  <c r="BI172" i="2"/>
  <c r="BI106" i="2"/>
  <c r="BI55" i="2"/>
  <c r="BI29" i="2"/>
  <c r="BI117" i="2"/>
  <c r="BI62" i="2"/>
  <c r="BI189" i="2"/>
  <c r="BI4" i="2"/>
  <c r="BI175" i="2"/>
  <c r="BI67" i="2"/>
  <c r="BI176" i="2"/>
  <c r="BI11" i="2"/>
  <c r="BI171" i="2"/>
  <c r="BI137" i="2"/>
  <c r="BI196" i="2"/>
  <c r="BI84" i="2"/>
  <c r="BI194" i="2"/>
  <c r="BI143" i="2"/>
  <c r="BI64" i="2"/>
  <c r="BI23" i="2"/>
  <c r="BI182" i="2"/>
  <c r="BI118" i="2"/>
  <c r="BI16" i="2"/>
  <c r="BI142" i="2"/>
  <c r="BI124" i="2"/>
  <c r="BI88" i="2"/>
  <c r="BI59" i="2"/>
  <c r="BI79" i="2"/>
  <c r="BI98" i="2"/>
  <c r="BI27" i="2"/>
  <c r="BI141" i="2"/>
  <c r="BI15" i="2"/>
  <c r="BI93" i="2"/>
  <c r="BI177" i="2"/>
  <c r="BI158" i="2"/>
  <c r="BI127" i="2"/>
  <c r="BI166" i="2"/>
  <c r="BI45" i="2"/>
  <c r="BI186" i="2"/>
  <c r="BI85" i="2"/>
  <c r="BI113" i="2"/>
  <c r="BI100" i="2"/>
  <c r="BI41" i="2"/>
  <c r="BI136" i="2"/>
  <c r="BI53" i="2"/>
  <c r="BI89" i="2"/>
  <c r="BI92" i="2"/>
  <c r="BI129" i="2"/>
  <c r="BI91" i="2"/>
  <c r="BI133" i="2"/>
  <c r="BI34" i="2"/>
  <c r="BI131" i="2"/>
  <c r="BI21" i="2"/>
  <c r="BI149" i="2"/>
  <c r="BI99" i="2"/>
  <c r="BI146" i="2"/>
  <c r="BI95" i="2"/>
  <c r="BI120" i="2"/>
  <c r="BI77" i="2"/>
  <c r="BI28" i="2"/>
  <c r="BI97" i="2"/>
  <c r="BI8" i="2"/>
  <c r="BI94" i="2"/>
  <c r="BI154" i="2"/>
  <c r="BI42" i="2"/>
  <c r="BI173" i="2"/>
  <c r="BI73" i="2"/>
  <c r="BI202" i="2"/>
  <c r="BI151" i="2"/>
  <c r="BI32" i="2"/>
  <c r="BI138" i="2"/>
  <c r="BI65" i="2"/>
  <c r="BI153" i="2"/>
  <c r="BI107" i="2"/>
  <c r="BI83" i="2"/>
  <c r="BI46" i="2"/>
  <c r="BI5" i="2"/>
  <c r="BI188" i="2"/>
  <c r="BI123" i="2"/>
  <c r="BI17" i="2"/>
  <c r="BI165" i="2"/>
  <c r="BI174" i="2"/>
  <c r="BI78" i="2"/>
  <c r="BI86" i="2"/>
  <c r="BI51" i="2"/>
  <c r="BI193" i="2"/>
  <c r="BI6" i="2"/>
  <c r="BI199" i="2"/>
  <c r="BI181" i="2"/>
  <c r="BI121" i="2"/>
  <c r="BI66" i="2"/>
  <c r="BI49" i="2"/>
  <c r="BI170" i="2"/>
  <c r="BI22" i="2"/>
  <c r="BI18" i="2"/>
  <c r="BI183" i="2"/>
  <c r="BI195" i="2"/>
  <c r="BI101" i="2"/>
  <c r="BI43" i="2"/>
  <c r="BI82" i="2"/>
  <c r="BI140" i="2"/>
  <c r="BI54" i="2"/>
  <c r="BI81" i="2"/>
  <c r="BI169" i="2"/>
  <c r="BI3" i="2"/>
  <c r="C8" i="4" s="1"/>
  <c r="E8" i="4" s="1"/>
  <c r="F8" i="4" s="1"/>
  <c r="G8" i="4" s="1"/>
  <c r="L8" i="4" s="1"/>
  <c r="BI25" i="2"/>
  <c r="BI24" i="2"/>
  <c r="BI156" i="2"/>
  <c r="BI162" i="2"/>
  <c r="BI200" i="2"/>
  <c r="BI102" i="2"/>
  <c r="BI74" i="2"/>
  <c r="BI203" i="2"/>
  <c r="BI71" i="2"/>
  <c r="BI48" i="2"/>
  <c r="BI110" i="2"/>
  <c r="BI185" i="2"/>
  <c r="BI109" i="2"/>
  <c r="BI122" i="2"/>
  <c r="BI1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<sst xmlns="http://schemas.openxmlformats.org/spreadsheetml/2006/main" count="1173" uniqueCount="324">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</sst>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2.0803069082284602</c:v>
                </c:pt>
                <c:pt idx="2">
                  <c:v>2.7908466007605846</c:v>
                </c:pt>
                <c:pt idx="3">
                  <c:v>3.745090324532018</c:v>
                </c:pt>
                <c:pt idx="4">
                  <c:v>5.0269529215261413</c:v>
                </c:pt>
                <c:pt idx="5">
                  <c:v>6.7493493166264118</c:v>
                </c:pt>
                <c:pt idx="6">
                  <c:v>9.0642504917295152</c:v>
                </c:pt>
                <c:pt idx="7">
                  <c:v>12.176237248342895</c:v>
                </c:pt>
                <c:pt idx="8">
                  <c:v>16.360771842506747</c:v>
                </c:pt>
                <c:pt idx="9">
                  <c:v>21.988834252444033</c:v>
                </c:pt>
                <c:pt idx="10">
                  <c:v>29.560146074891151</c:v>
                </c:pt>
                <c:pt idx="11">
                  <c:v>39.747983373188866</c:v>
                </c:pt>
                <c:pt idx="12">
                  <c:v>53.459631237926175</c:v>
                </c:pt>
                <c:pt idx="13">
                  <c:v>73.140819321214281</c:v>
                </c:pt>
                <c:pt idx="14">
                  <c:v>95.186564611203053</c:v>
                </c:pt>
                <c:pt idx="15">
                  <c:v>119.46034912255978</c:v>
                </c:pt>
                <c:pt idx="16">
                  <c:v>105.43757059579757</c:v>
                </c:pt>
                <c:pt idx="17">
                  <c:v>118.67513818911159</c:v>
                </c:pt>
                <c:pt idx="18">
                  <c:v>134.74789502830188</c:v>
                </c:pt>
                <c:pt idx="19">
                  <c:v>151.81535041199444</c:v>
                </c:pt>
                <c:pt idx="20">
                  <c:v>173.24815008510896</c:v>
                </c:pt>
                <c:pt idx="21">
                  <c:v>148.0412081018321</c:v>
                </c:pt>
                <c:pt idx="22">
                  <c:v>168.96686707539345</c:v>
                </c:pt>
                <c:pt idx="23">
                  <c:v>192.67816640336261</c:v>
                </c:pt>
                <c:pt idx="24">
                  <c:v>216.32153488140924</c:v>
                </c:pt>
                <c:pt idx="25">
                  <c:v>239.90544326410898</c:v>
                </c:pt>
                <c:pt idx="26">
                  <c:v>263.43655821796307</c:v>
                </c:pt>
                <c:pt idx="27">
                  <c:v>286.92025704588701</c:v>
                </c:pt>
                <c:pt idx="28">
                  <c:v>237.33064408253657</c:v>
                </c:pt>
                <c:pt idx="29">
                  <c:v>257.78331868680567</c:v>
                </c:pt>
                <c:pt idx="30">
                  <c:v>278.19931180683267</c:v>
                </c:pt>
                <c:pt idx="31">
                  <c:v>298.58169316803003</c:v>
                </c:pt>
                <c:pt idx="32">
                  <c:v>318.93307910873153</c:v>
                </c:pt>
                <c:pt idx="33">
                  <c:v>255.10990586536604</c:v>
                </c:pt>
                <c:pt idx="34">
                  <c:v>271.70592919006214</c:v>
                </c:pt>
                <c:pt idx="35">
                  <c:v>288.27915915379555</c:v>
                </c:pt>
                <c:pt idx="36">
                  <c:v>304.83109049314095</c:v>
                </c:pt>
                <c:pt idx="37">
                  <c:v>321.36304234678073</c:v>
                </c:pt>
                <c:pt idx="38">
                  <c:v>338.23385687217097</c:v>
                </c:pt>
                <c:pt idx="39">
                  <c:v>355.08615659743674</c:v>
                </c:pt>
                <c:pt idx="40">
                  <c:v>371.92094370217211</c:v>
                </c:pt>
                <c:pt idx="41">
                  <c:v>388.73912225137661</c:v>
                </c:pt>
                <c:pt idx="42">
                  <c:v>405.541511718403</c:v>
                </c:pt>
                <c:pt idx="43">
                  <c:v>422.32885814959485</c:v>
                </c:pt>
                <c:pt idx="44">
                  <c:v>439.22885835221365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617328"/>
        <c:axId val="135617872"/>
      </c:scatterChart>
      <c:valAx>
        <c:axId val="135617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617872"/>
        <c:crosses val="autoZero"/>
        <c:crossBetween val="midCat"/>
      </c:valAx>
      <c:valAx>
        <c:axId val="13561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617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65616"/>
        <c:axId val="184257456"/>
      </c:scatterChart>
      <c:valAx>
        <c:axId val="184265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57456"/>
        <c:crosses val="autoZero"/>
        <c:crossBetween val="midCat"/>
      </c:valAx>
      <c:valAx>
        <c:axId val="18425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3.3339334837074155</c:v>
                </c:pt>
                <c:pt idx="2">
                  <c:v>4.013913855829621</c:v>
                </c:pt>
                <c:pt idx="3">
                  <c:v>4.8330941983025246</c:v>
                </c:pt>
                <c:pt idx="4">
                  <c:v>5.8200693355347539</c:v>
                </c:pt>
                <c:pt idx="5">
                  <c:v>7.0093271356065925</c:v>
                </c:pt>
                <c:pt idx="6">
                  <c:v>8.4424666374920765</c:v>
                </c:pt>
                <c:pt idx="7">
                  <c:v>10.169668667950896</c:v>
                </c:pt>
                <c:pt idx="8">
                  <c:v>12.251471415764982</c:v>
                </c:pt>
                <c:pt idx="9">
                  <c:v>14.760914358975624</c:v>
                </c:pt>
                <c:pt idx="10">
                  <c:v>17.786127149598922</c:v>
                </c:pt>
                <c:pt idx="11">
                  <c:v>21.433456026907098</c:v>
                </c:pt>
                <c:pt idx="12">
                  <c:v>25.831239631609851</c:v>
                </c:pt>
                <c:pt idx="13">
                  <c:v>31.134369426866446</c:v>
                </c:pt>
                <c:pt idx="14">
                  <c:v>37.529798141938436</c:v>
                </c:pt>
                <c:pt idx="15">
                  <c:v>45.24319376130331</c:v>
                </c:pt>
                <c:pt idx="16">
                  <c:v>54.546977821088397</c:v>
                </c:pt>
                <c:pt idx="17">
                  <c:v>65.7700366396476</c:v>
                </c:pt>
                <c:pt idx="18">
                  <c:v>79.309454407281166</c:v>
                </c:pt>
                <c:pt idx="19">
                  <c:v>95.644689978005729</c:v>
                </c:pt>
                <c:pt idx="20">
                  <c:v>115.35470738934083</c:v>
                </c:pt>
                <c:pt idx="21">
                  <c:v>139.13867678506497</c:v>
                </c:pt>
                <c:pt idx="22">
                  <c:v>167.84099140366013</c:v>
                </c:pt>
                <c:pt idx="23">
                  <c:v>202.48150230795343</c:v>
                </c:pt>
                <c:pt idx="24">
                  <c:v>244.29206123993572</c:v>
                </c:pt>
                <c:pt idx="25">
                  <c:v>294.76069025102026</c:v>
                </c:pt>
                <c:pt idx="26">
                  <c:v>269.49868303749878</c:v>
                </c:pt>
                <c:pt idx="27">
                  <c:v>276.23626054130062</c:v>
                </c:pt>
                <c:pt idx="28">
                  <c:v>282.97014824318978</c:v>
                </c:pt>
                <c:pt idx="29">
                  <c:v>289.70044644748424</c:v>
                </c:pt>
                <c:pt idx="30">
                  <c:v>296.42725041183854</c:v>
                </c:pt>
                <c:pt idx="31">
                  <c:v>303.15065071248324</c:v>
                </c:pt>
                <c:pt idx="32">
                  <c:v>309.87073357533876</c:v>
                </c:pt>
                <c:pt idx="33">
                  <c:v>316.58758117687836</c:v>
                </c:pt>
                <c:pt idx="34">
                  <c:v>323.301271918103</c:v>
                </c:pt>
                <c:pt idx="35">
                  <c:v>330.01188067454905</c:v>
                </c:pt>
                <c:pt idx="36">
                  <c:v>336.71947902488284</c:v>
                </c:pt>
                <c:pt idx="37">
                  <c:v>343.42413546031383</c:v>
                </c:pt>
                <c:pt idx="38">
                  <c:v>350.12591557678843</c:v>
                </c:pt>
                <c:pt idx="39">
                  <c:v>356.82488225168885</c:v>
                </c:pt>
                <c:pt idx="40">
                  <c:v>363.52109580656025</c:v>
                </c:pt>
                <c:pt idx="41">
                  <c:v>339.75201717533798</c:v>
                </c:pt>
                <c:pt idx="42">
                  <c:v>355.45362227928348</c:v>
                </c:pt>
                <c:pt idx="43">
                  <c:v>371.14004177022935</c:v>
                </c:pt>
                <c:pt idx="44">
                  <c:v>386.81200773557634</c:v>
                </c:pt>
                <c:pt idx="45">
                  <c:v>402.47018810811414</c:v>
                </c:pt>
                <c:pt idx="46">
                  <c:v>418.11519461727886</c:v>
                </c:pt>
                <c:pt idx="47">
                  <c:v>433.7475894882179</c:v>
                </c:pt>
                <c:pt idx="48">
                  <c:v>449.3678911247892</c:v>
                </c:pt>
                <c:pt idx="49">
                  <c:v>464.9765789612706</c:v>
                </c:pt>
                <c:pt idx="50">
                  <c:v>480.57409762875909</c:v>
                </c:pt>
                <c:pt idx="51">
                  <c:v>496.16086055260229</c:v>
                </c:pt>
                <c:pt idx="52">
                  <c:v>511.73725307435643</c:v>
                </c:pt>
                <c:pt idx="53">
                  <c:v>527.30363517395529</c:v>
                </c:pt>
                <c:pt idx="54">
                  <c:v>542.86034385381674</c:v>
                </c:pt>
                <c:pt idx="55">
                  <c:v>558.40769523554923</c:v>
                </c:pt>
                <c:pt idx="56">
                  <c:v>514.02280838469608</c:v>
                </c:pt>
                <c:pt idx="57">
                  <c:v>530.3387055543642</c:v>
                </c:pt>
                <c:pt idx="58">
                  <c:v>546.644042350375</c:v>
                </c:pt>
                <c:pt idx="59">
                  <c:v>562.93917795695768</c:v>
                </c:pt>
                <c:pt idx="60">
                  <c:v>579.22444908027319</c:v>
                </c:pt>
                <c:pt idx="61">
                  <c:v>595.50017196054557</c:v>
                </c:pt>
                <c:pt idx="62">
                  <c:v>611.76664415289827</c:v>
                </c:pt>
                <c:pt idx="63">
                  <c:v>628.02414610904168</c:v>
                </c:pt>
                <c:pt idx="64">
                  <c:v>644.27294258676966</c:v>
                </c:pt>
                <c:pt idx="65">
                  <c:v>660.51328390995991</c:v>
                </c:pt>
                <c:pt idx="66">
                  <c:v>676.74540709830001</c:v>
                </c:pt>
                <c:pt idx="67">
                  <c:v>692.96953688306542</c:v>
                </c:pt>
                <c:pt idx="68">
                  <c:v>709.18588662290006</c:v>
                </c:pt>
                <c:pt idx="69">
                  <c:v>725.39465913154606</c:v>
                </c:pt>
                <c:pt idx="70">
                  <c:v>741.59604742780675</c:v>
                </c:pt>
                <c:pt idx="71">
                  <c:v>677.24064152906988</c:v>
                </c:pt>
                <c:pt idx="72">
                  <c:v>693.55443143990931</c:v>
                </c:pt>
                <c:pt idx="73">
                  <c:v>709.86036238891609</c:v>
                </c:pt>
                <c:pt idx="74">
                  <c:v>726.15864018149898</c:v>
                </c:pt>
                <c:pt idx="75">
                  <c:v>742.44946063934322</c:v>
                </c:pt>
                <c:pt idx="76">
                  <c:v>758.73301029763968</c:v>
                </c:pt>
                <c:pt idx="77">
                  <c:v>775.00946703940451</c:v>
                </c:pt>
                <c:pt idx="78">
                  <c:v>791.27900067378732</c:v>
                </c:pt>
                <c:pt idx="79">
                  <c:v>807.54177346439553</c:v>
                </c:pt>
                <c:pt idx="80">
                  <c:v>823.79794061288567</c:v>
                </c:pt>
                <c:pt idx="81">
                  <c:v>840.04765070244184</c:v>
                </c:pt>
                <c:pt idx="82">
                  <c:v>856.2910461051905</c:v>
                </c:pt>
                <c:pt idx="83">
                  <c:v>872.52826335712825</c:v>
                </c:pt>
                <c:pt idx="84">
                  <c:v>888.7594335037229</c:v>
                </c:pt>
                <c:pt idx="85">
                  <c:v>904.98468241898138</c:v>
                </c:pt>
                <c:pt idx="86">
                  <c:v>921.20413110047832</c:v>
                </c:pt>
                <c:pt idx="87">
                  <c:v>937.41789594254453</c:v>
                </c:pt>
                <c:pt idx="88">
                  <c:v>953.62608898960173</c:v>
                </c:pt>
                <c:pt idx="89">
                  <c:v>969.82881817139696</c:v>
                </c:pt>
                <c:pt idx="90">
                  <c:v>986.0261875217202</c:v>
                </c:pt>
                <c:pt idx="91">
                  <c:v>1002.2182973820235</c:v>
                </c:pt>
                <c:pt idx="92">
                  <c:v>1018.405244591214</c:v>
                </c:pt>
                <c:pt idx="93">
                  <c:v>1034.5871226627687</c:v>
                </c:pt>
                <c:pt idx="94">
                  <c:v>1050.764021950208</c:v>
                </c:pt>
                <c:pt idx="95">
                  <c:v>1066.9360298018626</c:v>
                </c:pt>
                <c:pt idx="96">
                  <c:v>1083.1032307057865</c:v>
                </c:pt>
                <c:pt idx="97">
                  <c:v>1099.2657064255734</c:v>
                </c:pt>
                <c:pt idx="98">
                  <c:v>1115.4235361277899</c:v>
                </c:pt>
                <c:pt idx="99">
                  <c:v>1131.5767965016446</c:v>
                </c:pt>
                <c:pt idx="100">
                  <c:v>1147.7255618714837</c:v>
                </c:pt>
                <c:pt idx="101">
                  <c:v>1038.2878720622773</c:v>
                </c:pt>
                <c:pt idx="102">
                  <c:v>1053.8170513070818</c:v>
                </c:pt>
                <c:pt idx="103">
                  <c:v>1069.3417373187735</c:v>
                </c:pt>
                <c:pt idx="104">
                  <c:v>1084.8620044357085</c:v>
                </c:pt>
                <c:pt idx="105">
                  <c:v>1100.3779246986624</c:v>
                </c:pt>
                <c:pt idx="106">
                  <c:v>1115.889567953895</c:v>
                </c:pt>
                <c:pt idx="107">
                  <c:v>1131.3970019501901</c:v>
                </c:pt>
                <c:pt idx="108">
                  <c:v>1146.9002924303113</c:v>
                </c:pt>
                <c:pt idx="109">
                  <c:v>1162.3995032172609</c:v>
                </c:pt>
                <c:pt idx="110">
                  <c:v>1177.8946962957023</c:v>
                </c:pt>
                <c:pt idx="111">
                  <c:v>1193.3859318888915</c:v>
                </c:pt>
                <c:pt idx="112">
                  <c:v>1208.8732685314012</c:v>
                </c:pt>
                <c:pt idx="113">
                  <c:v>1224.3567631379394</c:v>
                </c:pt>
                <c:pt idx="114">
                  <c:v>1239.8364710685053</c:v>
                </c:pt>
                <c:pt idx="115">
                  <c:v>1255.3124461901309</c:v>
                </c:pt>
                <c:pt idx="116">
                  <c:v>1270.7847409354247</c:v>
                </c:pt>
                <c:pt idx="117">
                  <c:v>1286.2534063581168</c:v>
                </c:pt>
                <c:pt idx="118">
                  <c:v>1301.7184921858031</c:v>
                </c:pt>
                <c:pt idx="119">
                  <c:v>1317.1800468700533</c:v>
                </c:pt>
                <c:pt idx="120">
                  <c:v>1332.6381176340476</c:v>
                </c:pt>
                <c:pt idx="121">
                  <c:v>1348.0927505178959</c:v>
                </c:pt>
                <c:pt idx="122">
                  <c:v>1363.543990421769</c:v>
                </c:pt>
                <c:pt idx="123">
                  <c:v>1378.9918811469815</c:v>
                </c:pt>
                <c:pt idx="124">
                  <c:v>1394.43646543514</c:v>
                </c:pt>
                <c:pt idx="125">
                  <c:v>1409.8777850054657</c:v>
                </c:pt>
                <c:pt idx="126">
                  <c:v>1425.3158805904075</c:v>
                </c:pt>
                <c:pt idx="127">
                  <c:v>1440.7507919696275</c:v>
                </c:pt>
                <c:pt idx="128">
                  <c:v>1456.1825580024645</c:v>
                </c:pt>
                <c:pt idx="129">
                  <c:v>1471.6112166589439</c:v>
                </c:pt>
                <c:pt idx="130">
                  <c:v>1487.0368050494287</c:v>
                </c:pt>
                <c:pt idx="131">
                  <c:v>1338.7461417386303</c:v>
                </c:pt>
                <c:pt idx="132">
                  <c:v>1352.4518239793745</c:v>
                </c:pt>
                <c:pt idx="133">
                  <c:v>1366.1548471542155</c:v>
                </c:pt>
                <c:pt idx="134">
                  <c:v>1379.8552416503271</c:v>
                </c:pt>
                <c:pt idx="135">
                  <c:v>1393.5530372032354</c:v>
                </c:pt>
                <c:pt idx="136">
                  <c:v>1407.2482629171889</c:v>
                </c:pt>
                <c:pt idx="137">
                  <c:v>1420.9409472846976</c:v>
                </c:pt>
                <c:pt idx="138">
                  <c:v>1434.6311182052802</c:v>
                </c:pt>
                <c:pt idx="139">
                  <c:v>1448.3188030034598</c:v>
                </c:pt>
                <c:pt idx="140">
                  <c:v>1462.0040284460467</c:v>
                </c:pt>
                <c:pt idx="141">
                  <c:v>1475.6868207587406</c:v>
                </c:pt>
                <c:pt idx="142">
                  <c:v>1489.3672056420835</c:v>
                </c:pt>
                <c:pt idx="143">
                  <c:v>1503.0452082868023</c:v>
                </c:pt>
                <c:pt idx="144">
                  <c:v>1516.7208533885623</c:v>
                </c:pt>
                <c:pt idx="145">
                  <c:v>1530.3941651621592</c:v>
                </c:pt>
                <c:pt idx="146">
                  <c:v>1544.0651673551838</c:v>
                </c:pt>
                <c:pt idx="147">
                  <c:v>1557.7338832611752</c:v>
                </c:pt>
                <c:pt idx="148">
                  <c:v>1571.4003357322897</c:v>
                </c:pt>
                <c:pt idx="149">
                  <c:v>1585.0645471915057</c:v>
                </c:pt>
                <c:pt idx="150">
                  <c:v>1598.7265396443918</c:v>
                </c:pt>
                <c:pt idx="151">
                  <c:v>1612.3863346904452</c:v>
                </c:pt>
                <c:pt idx="152">
                  <c:v>1626.0439535340313</c:v>
                </c:pt>
                <c:pt idx="153">
                  <c:v>1639.6994169949378</c:v>
                </c:pt>
                <c:pt idx="154">
                  <c:v>1653.3527455185574</c:v>
                </c:pt>
                <c:pt idx="155">
                  <c:v>1667.0039591857167</c:v>
                </c:pt>
                <c:pt idx="156">
                  <c:v>1680.6530777221699</c:v>
                </c:pt>
                <c:pt idx="157">
                  <c:v>1694.3001205077687</c:v>
                </c:pt>
                <c:pt idx="158">
                  <c:v>1707.9451065853175</c:v>
                </c:pt>
                <c:pt idx="159">
                  <c:v>1721.5880546691367</c:v>
                </c:pt>
                <c:pt idx="160">
                  <c:v>1735.2289831533396</c:v>
                </c:pt>
                <c:pt idx="161">
                  <c:v>1557.3111298005795</c:v>
                </c:pt>
                <c:pt idx="162">
                  <c:v>1568.4850794793695</c:v>
                </c:pt>
                <c:pt idx="163">
                  <c:v>1579.6575279343363</c:v>
                </c:pt>
                <c:pt idx="164">
                  <c:v>1590.8284872610766</c:v>
                </c:pt>
                <c:pt idx="165">
                  <c:v>1601.9979693717585</c:v>
                </c:pt>
                <c:pt idx="166">
                  <c:v>1613.1659859991876</c:v>
                </c:pt>
                <c:pt idx="167">
                  <c:v>1624.3325487007567</c:v>
                </c:pt>
                <c:pt idx="168">
                  <c:v>1635.4976688622801</c:v>
                </c:pt>
                <c:pt idx="169">
                  <c:v>1646.6613577017181</c:v>
                </c:pt>
                <c:pt idx="170">
                  <c:v>1657.8236262727951</c:v>
                </c:pt>
                <c:pt idx="171">
                  <c:v>1668.9844854685182</c:v>
                </c:pt>
                <c:pt idx="172">
                  <c:v>1680.1439460245911</c:v>
                </c:pt>
                <c:pt idx="173">
                  <c:v>1691.3020185227397</c:v>
                </c:pt>
                <c:pt idx="174">
                  <c:v>1702.4587133939403</c:v>
                </c:pt>
                <c:pt idx="175">
                  <c:v>1713.6140409215598</c:v>
                </c:pt>
                <c:pt idx="176">
                  <c:v>1724.7680112444152</c:v>
                </c:pt>
                <c:pt idx="177">
                  <c:v>1735.9206343597416</c:v>
                </c:pt>
                <c:pt idx="178">
                  <c:v>1747.0719201260856</c:v>
                </c:pt>
                <c:pt idx="179">
                  <c:v>1758.2218782661209</c:v>
                </c:pt>
                <c:pt idx="180">
                  <c:v>1769.3705183693876</c:v>
                </c:pt>
                <c:pt idx="181">
                  <c:v>1780.5178498949597</c:v>
                </c:pt>
                <c:pt idx="182">
                  <c:v>1791.6638821740396</c:v>
                </c:pt>
                <c:pt idx="183">
                  <c:v>1802.8086244124913</c:v>
                </c:pt>
                <c:pt idx="184">
                  <c:v>1813.9520856932995</c:v>
                </c:pt>
                <c:pt idx="185">
                  <c:v>1825.0942749789754</c:v>
                </c:pt>
                <c:pt idx="186">
                  <c:v>1836.2352011138876</c:v>
                </c:pt>
                <c:pt idx="187">
                  <c:v>1847.3748728265484</c:v>
                </c:pt>
                <c:pt idx="188">
                  <c:v>1858.5132987318291</c:v>
                </c:pt>
                <c:pt idx="189">
                  <c:v>1869.6504873331289</c:v>
                </c:pt>
                <c:pt idx="190">
                  <c:v>1880.7864470244849</c:v>
                </c:pt>
                <c:pt idx="191">
                  <c:v>1891.9211860926298</c:v>
                </c:pt>
                <c:pt idx="192">
                  <c:v>1903.0547127190009</c:v>
                </c:pt>
                <c:pt idx="193">
                  <c:v>1914.187034981697</c:v>
                </c:pt>
                <c:pt idx="194">
                  <c:v>1925.3181608573902</c:v>
                </c:pt>
                <c:pt idx="195">
                  <c:v>1936.4480982231914</c:v>
                </c:pt>
                <c:pt idx="196">
                  <c:v>1947.5768548584656</c:v>
                </c:pt>
                <c:pt idx="197">
                  <c:v>1958.7044384466114</c:v>
                </c:pt>
                <c:pt idx="198">
                  <c:v>1969.8308565767904</c:v>
                </c:pt>
                <c:pt idx="199">
                  <c:v>1980.9561167456243</c:v>
                </c:pt>
                <c:pt idx="200">
                  <c:v>1992.0802263588409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618416"/>
        <c:axId val="2109065280"/>
      </c:scatterChart>
      <c:valAx>
        <c:axId val="13561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9065280"/>
        <c:crosses val="autoZero"/>
        <c:crossBetween val="midCat"/>
      </c:valAx>
      <c:valAx>
        <c:axId val="210906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61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3.8048589648772548</c:v>
                </c:pt>
                <c:pt idx="2">
                  <c:v>4.9658685300899741</c:v>
                </c:pt>
                <c:pt idx="3">
                  <c:v>6.4825472886342412</c:v>
                </c:pt>
                <c:pt idx="4">
                  <c:v>8.4642554807470223</c:v>
                </c:pt>
                <c:pt idx="5">
                  <c:v>11.054094587779758</c:v>
                </c:pt>
                <c:pt idx="6">
                  <c:v>14.439350575647017</c:v>
                </c:pt>
                <c:pt idx="7">
                  <c:v>18.865178801289069</c:v>
                </c:pt>
                <c:pt idx="8">
                  <c:v>24.652539478882158</c:v>
                </c:pt>
                <c:pt idx="9">
                  <c:v>32.221707351734686</c:v>
                </c:pt>
                <c:pt idx="10">
                  <c:v>42.123092370625436</c:v>
                </c:pt>
                <c:pt idx="11">
                  <c:v>49.176657705829996</c:v>
                </c:pt>
                <c:pt idx="12">
                  <c:v>56.203322323647022</c:v>
                </c:pt>
                <c:pt idx="13">
                  <c:v>63.206936640923821</c:v>
                </c:pt>
                <c:pt idx="14">
                  <c:v>70.190423133972232</c:v>
                </c:pt>
                <c:pt idx="15">
                  <c:v>77.156072455157982</c:v>
                </c:pt>
                <c:pt idx="16">
                  <c:v>84.105726175167035</c:v>
                </c:pt>
                <c:pt idx="17">
                  <c:v>91.040895567915371</c:v>
                </c:pt>
                <c:pt idx="18">
                  <c:v>97.962842104462311</c:v>
                </c:pt>
                <c:pt idx="19">
                  <c:v>104.87263389532752</c:v>
                </c:pt>
                <c:pt idx="20">
                  <c:v>111.77118641512146</c:v>
                </c:pt>
                <c:pt idx="21">
                  <c:v>119.18873470246469</c:v>
                </c:pt>
                <c:pt idx="22">
                  <c:v>126.59502800893331</c:v>
                </c:pt>
                <c:pt idx="23">
                  <c:v>133.99081884773773</c:v>
                </c:pt>
                <c:pt idx="24">
                  <c:v>141.37676969559016</c:v>
                </c:pt>
                <c:pt idx="25">
                  <c:v>148.75346801340694</c:v>
                </c:pt>
                <c:pt idx="26">
                  <c:v>156.12143812394086</c:v>
                </c:pt>
                <c:pt idx="27">
                  <c:v>163.48115072454291</c:v>
                </c:pt>
                <c:pt idx="28">
                  <c:v>170.83303059347398</c:v>
                </c:pt>
                <c:pt idx="29">
                  <c:v>178.17746289746552</c:v>
                </c:pt>
                <c:pt idx="30">
                  <c:v>185.51479840284517</c:v>
                </c:pt>
                <c:pt idx="31">
                  <c:v>149.43047480157125</c:v>
                </c:pt>
                <c:pt idx="32">
                  <c:v>156.62235557761673</c:v>
                </c:pt>
                <c:pt idx="33">
                  <c:v>163.80639639628396</c:v>
                </c:pt>
                <c:pt idx="34">
                  <c:v>170.98299016440384</c:v>
                </c:pt>
                <c:pt idx="35">
                  <c:v>178.15249405343036</c:v>
                </c:pt>
                <c:pt idx="36">
                  <c:v>185.31523408935433</c:v>
                </c:pt>
                <c:pt idx="37">
                  <c:v>192.47150899454962</c:v>
                </c:pt>
                <c:pt idx="38">
                  <c:v>199.62159342735092</c:v>
                </c:pt>
                <c:pt idx="39">
                  <c:v>206.76574073243341</c:v>
                </c:pt>
                <c:pt idx="40">
                  <c:v>213.90418529058067</c:v>
                </c:pt>
                <c:pt idx="41">
                  <c:v>192.42166120835626</c:v>
                </c:pt>
                <c:pt idx="42">
                  <c:v>199.32275581940712</c:v>
                </c:pt>
                <c:pt idx="43">
                  <c:v>206.21831043347561</c:v>
                </c:pt>
                <c:pt idx="44">
                  <c:v>213.10853671639416</c:v>
                </c:pt>
                <c:pt idx="45">
                  <c:v>219.9936315077812</c:v>
                </c:pt>
                <c:pt idx="46">
                  <c:v>226.87377830149305</c:v>
                </c:pt>
                <c:pt idx="47">
                  <c:v>233.7491485368449</c:v>
                </c:pt>
                <c:pt idx="48">
                  <c:v>240.61990272976405</c:v>
                </c:pt>
                <c:pt idx="49">
                  <c:v>247.48619146781928</c:v>
                </c:pt>
                <c:pt idx="50">
                  <c:v>254.34815628891332</c:v>
                </c:pt>
                <c:pt idx="51">
                  <c:v>229.48051880098561</c:v>
                </c:pt>
                <c:pt idx="52">
                  <c:v>235.85798645727183</c:v>
                </c:pt>
                <c:pt idx="53">
                  <c:v>242.23152132902632</c:v>
                </c:pt>
                <c:pt idx="54">
                  <c:v>248.60124164955633</c:v>
                </c:pt>
                <c:pt idx="55">
                  <c:v>254.96725908975077</c:v>
                </c:pt>
                <c:pt idx="56">
                  <c:v>261.32967928077107</c:v>
                </c:pt>
                <c:pt idx="57">
                  <c:v>267.68860228311689</c:v>
                </c:pt>
                <c:pt idx="58">
                  <c:v>274.04412300873804</c:v>
                </c:pt>
                <c:pt idx="59">
                  <c:v>280.396331601898</c:v>
                </c:pt>
                <c:pt idx="60">
                  <c:v>286.7453137836809</c:v>
                </c:pt>
                <c:pt idx="61">
                  <c:v>259.96836929979628</c:v>
                </c:pt>
                <c:pt idx="62">
                  <c:v>265.83324114840497</c:v>
                </c:pt>
                <c:pt idx="63">
                  <c:v>271.69519658254586</c:v>
                </c:pt>
                <c:pt idx="64">
                  <c:v>277.55430749660098</c:v>
                </c:pt>
                <c:pt idx="65">
                  <c:v>283.41064249745818</c:v>
                </c:pt>
                <c:pt idx="66">
                  <c:v>289.26426712120121</c:v>
                </c:pt>
                <c:pt idx="67">
                  <c:v>295.11524403132222</c:v>
                </c:pt>
                <c:pt idx="68">
                  <c:v>300.96363320037727</c:v>
                </c:pt>
                <c:pt idx="69">
                  <c:v>306.809492076769</c:v>
                </c:pt>
                <c:pt idx="70">
                  <c:v>312.65287573814021</c:v>
                </c:pt>
                <c:pt idx="71">
                  <c:v>284.99163260329033</c:v>
                </c:pt>
                <c:pt idx="72">
                  <c:v>290.40010494546084</c:v>
                </c:pt>
                <c:pt idx="73">
                  <c:v>295.80632662750048</c:v>
                </c:pt>
                <c:pt idx="74">
                  <c:v>301.2103446471956</c:v>
                </c:pt>
                <c:pt idx="75">
                  <c:v>306.61220417592597</c:v>
                </c:pt>
                <c:pt idx="76">
                  <c:v>312.01194866129816</c:v>
                </c:pt>
                <c:pt idx="77">
                  <c:v>317.40961992229774</c:v>
                </c:pt>
                <c:pt idx="78">
                  <c:v>322.80525823762173</c:v>
                </c:pt>
                <c:pt idx="79">
                  <c:v>328.19890242779229</c:v>
                </c:pt>
                <c:pt idx="80">
                  <c:v>333.59058993158482</c:v>
                </c:pt>
                <c:pt idx="81">
                  <c:v>303.75121141662743</c:v>
                </c:pt>
                <c:pt idx="82">
                  <c:v>308.90550226981668</c:v>
                </c:pt>
                <c:pt idx="83">
                  <c:v>314.05788318550503</c:v>
                </c:pt>
                <c:pt idx="84">
                  <c:v>319.20838996394923</c:v>
                </c:pt>
                <c:pt idx="85">
                  <c:v>324.35705715423052</c:v>
                </c:pt>
                <c:pt idx="86">
                  <c:v>329.50391811759846</c:v>
                </c:pt>
                <c:pt idx="87">
                  <c:v>334.64900508664772</c:v>
                </c:pt>
                <c:pt idx="88">
                  <c:v>339.79234922066138</c:v>
                </c:pt>
                <c:pt idx="89">
                  <c:v>344.93398065742446</c:v>
                </c:pt>
                <c:pt idx="90">
                  <c:v>350.07392856178558</c:v>
                </c:pt>
                <c:pt idx="91">
                  <c:v>320.39102048454578</c:v>
                </c:pt>
                <c:pt idx="92">
                  <c:v>325.16983865304672</c:v>
                </c:pt>
                <c:pt idx="93">
                  <c:v>329.94710501736904</c:v>
                </c:pt>
                <c:pt idx="94">
                  <c:v>334.72284524844281</c:v>
                </c:pt>
                <c:pt idx="95">
                  <c:v>339.49708422387408</c:v>
                </c:pt>
                <c:pt idx="96">
                  <c:v>344.26984606352681</c:v>
                </c:pt>
                <c:pt idx="97">
                  <c:v>349.04115416302761</c:v>
                </c:pt>
                <c:pt idx="98">
                  <c:v>353.81103122533932</c:v>
                </c:pt>
                <c:pt idx="99">
                  <c:v>358.57949929054325</c:v>
                </c:pt>
                <c:pt idx="100">
                  <c:v>363.34657976395215</c:v>
                </c:pt>
                <c:pt idx="101">
                  <c:v>334.08288524359153</c:v>
                </c:pt>
                <c:pt idx="102">
                  <c:v>338.51282672008824</c:v>
                </c:pt>
                <c:pt idx="103">
                  <c:v>342.94149234101388</c:v>
                </c:pt>
                <c:pt idx="104">
                  <c:v>347.36890093102028</c:v>
                </c:pt>
                <c:pt idx="105">
                  <c:v>351.79507079507425</c:v>
                </c:pt>
                <c:pt idx="106">
                  <c:v>356.22001973931293</c:v>
                </c:pt>
                <c:pt idx="107">
                  <c:v>360.64376509080483</c:v>
                </c:pt>
                <c:pt idx="108">
                  <c:v>365.0663237162932</c:v>
                </c:pt>
                <c:pt idx="109">
                  <c:v>369.48771203997916</c:v>
                </c:pt>
                <c:pt idx="110">
                  <c:v>373.90794606041169</c:v>
                </c:pt>
                <c:pt idx="111">
                  <c:v>345.32752863660477</c:v>
                </c:pt>
                <c:pt idx="112">
                  <c:v>349.43459992542427</c:v>
                </c:pt>
                <c:pt idx="113">
                  <c:v>353.54061216399072</c:v>
                </c:pt>
                <c:pt idx="114">
                  <c:v>357.64557940549111</c:v>
                </c:pt>
                <c:pt idx="115">
                  <c:v>361.7495153537397</c:v>
                </c:pt>
                <c:pt idx="116">
                  <c:v>365.85243337582006</c:v>
                </c:pt>
                <c:pt idx="117">
                  <c:v>369.95434651412825</c:v>
                </c:pt>
                <c:pt idx="118">
                  <c:v>374.05526749785537</c:v>
                </c:pt>
                <c:pt idx="119">
                  <c:v>378.15520875393821</c:v>
                </c:pt>
                <c:pt idx="120">
                  <c:v>382.25418241751021</c:v>
                </c:pt>
                <c:pt idx="121">
                  <c:v>354.40102073235494</c:v>
                </c:pt>
                <c:pt idx="122">
                  <c:v>358.23542974556727</c:v>
                </c:pt>
                <c:pt idx="123">
                  <c:v>362.06894054733544</c:v>
                </c:pt>
                <c:pt idx="124">
                  <c:v>365.90156400355818</c:v>
                </c:pt>
                <c:pt idx="125">
                  <c:v>369.73331073361152</c:v>
                </c:pt>
                <c:pt idx="126">
                  <c:v>373.56419111849641</c:v>
                </c:pt>
                <c:pt idx="127">
                  <c:v>377.39421530863575</c:v>
                </c:pt>
                <c:pt idx="128">
                  <c:v>381.22339323133792</c:v>
                </c:pt>
                <c:pt idx="129">
                  <c:v>385.05173459794327</c:v>
                </c:pt>
                <c:pt idx="130">
                  <c:v>388.87924891067297</c:v>
                </c:pt>
                <c:pt idx="131">
                  <c:v>361.77408674138815</c:v>
                </c:pt>
                <c:pt idx="132">
                  <c:v>365.36111916805106</c:v>
                </c:pt>
                <c:pt idx="133">
                  <c:v>368.94738236996483</c:v>
                </c:pt>
                <c:pt idx="134">
                  <c:v>372.53288489027659</c:v>
                </c:pt>
                <c:pt idx="135">
                  <c:v>376.11763509403113</c:v>
                </c:pt>
                <c:pt idx="136">
                  <c:v>379.70164117358632</c:v>
                </c:pt>
                <c:pt idx="137">
                  <c:v>383.28491115381127</c:v>
                </c:pt>
                <c:pt idx="138">
                  <c:v>386.86745289707966</c:v>
                </c:pt>
                <c:pt idx="139">
                  <c:v>390.44927410807009</c:v>
                </c:pt>
                <c:pt idx="140">
                  <c:v>394.03038233837879</c:v>
                </c:pt>
                <c:pt idx="141">
                  <c:v>367.91579592365957</c:v>
                </c:pt>
                <c:pt idx="142">
                  <c:v>371.25594328255482</c:v>
                </c:pt>
                <c:pt idx="143">
                  <c:v>374.59543528651312</c:v>
                </c:pt>
                <c:pt idx="144">
                  <c:v>377.93427861111053</c:v>
                </c:pt>
                <c:pt idx="145">
                  <c:v>381.272479804179</c:v>
                </c:pt>
                <c:pt idx="146">
                  <c:v>384.61004528937428</c:v>
                </c:pt>
                <c:pt idx="147">
                  <c:v>387.94698136961239</c:v>
                </c:pt>
                <c:pt idx="148">
                  <c:v>391.28329423038218</c:v>
                </c:pt>
                <c:pt idx="149">
                  <c:v>394.61898994293887</c:v>
                </c:pt>
                <c:pt idx="150">
                  <c:v>397.95407446738295</c:v>
                </c:pt>
                <c:pt idx="151">
                  <c:v>1.0844062677750854E-11</c:v>
                </c:pt>
                <c:pt idx="152">
                  <c:v>1.0844062677750854E-11</c:v>
                </c:pt>
                <c:pt idx="153">
                  <c:v>1.0844062677750854E-11</c:v>
                </c:pt>
                <c:pt idx="154">
                  <c:v>1.0844062677750854E-11</c:v>
                </c:pt>
                <c:pt idx="155">
                  <c:v>1.0844062677750854E-11</c:v>
                </c:pt>
                <c:pt idx="156">
                  <c:v>1.0844062677750854E-11</c:v>
                </c:pt>
                <c:pt idx="157">
                  <c:v>1.0844062677750854E-11</c:v>
                </c:pt>
                <c:pt idx="158">
                  <c:v>1.0844062677750854E-11</c:v>
                </c:pt>
                <c:pt idx="159">
                  <c:v>1.0844062677750854E-11</c:v>
                </c:pt>
                <c:pt idx="160">
                  <c:v>1.0844062677750854E-11</c:v>
                </c:pt>
                <c:pt idx="161">
                  <c:v>1.0844062677750854E-11</c:v>
                </c:pt>
                <c:pt idx="162">
                  <c:v>1.0844062677750854E-11</c:v>
                </c:pt>
                <c:pt idx="163">
                  <c:v>1.0844062677750854E-11</c:v>
                </c:pt>
                <c:pt idx="164">
                  <c:v>1.0844062677750854E-11</c:v>
                </c:pt>
                <c:pt idx="165">
                  <c:v>1.0844062677750854E-11</c:v>
                </c:pt>
                <c:pt idx="166">
                  <c:v>1.0844062677750854E-11</c:v>
                </c:pt>
                <c:pt idx="167">
                  <c:v>1.0844062677750854E-11</c:v>
                </c:pt>
                <c:pt idx="168">
                  <c:v>1.0844062677750854E-11</c:v>
                </c:pt>
                <c:pt idx="169">
                  <c:v>1.0844062677750854E-11</c:v>
                </c:pt>
                <c:pt idx="170">
                  <c:v>1.0844062677750854E-11</c:v>
                </c:pt>
                <c:pt idx="171">
                  <c:v>1.0844062677750854E-11</c:v>
                </c:pt>
                <c:pt idx="172">
                  <c:v>1.0844062677750854E-11</c:v>
                </c:pt>
                <c:pt idx="173">
                  <c:v>1.0844062677750854E-11</c:v>
                </c:pt>
                <c:pt idx="174">
                  <c:v>1.0844062677750854E-11</c:v>
                </c:pt>
                <c:pt idx="175">
                  <c:v>1.0844062677750854E-11</c:v>
                </c:pt>
                <c:pt idx="176">
                  <c:v>1.0844062677750854E-11</c:v>
                </c:pt>
                <c:pt idx="177">
                  <c:v>1.0844062677750854E-11</c:v>
                </c:pt>
                <c:pt idx="178">
                  <c:v>1.0844062677750854E-11</c:v>
                </c:pt>
                <c:pt idx="179">
                  <c:v>1.0844062677750854E-11</c:v>
                </c:pt>
                <c:pt idx="180">
                  <c:v>1.0844062677750854E-11</c:v>
                </c:pt>
                <c:pt idx="181">
                  <c:v>1.0844062677750854E-11</c:v>
                </c:pt>
                <c:pt idx="182">
                  <c:v>1.0844062677750854E-11</c:v>
                </c:pt>
                <c:pt idx="183">
                  <c:v>1.0844062677750854E-11</c:v>
                </c:pt>
                <c:pt idx="184">
                  <c:v>1.0844062677750854E-11</c:v>
                </c:pt>
                <c:pt idx="185">
                  <c:v>1.0844062677750854E-11</c:v>
                </c:pt>
                <c:pt idx="186">
                  <c:v>1.0844062677750854E-11</c:v>
                </c:pt>
                <c:pt idx="187">
                  <c:v>1.0844062677750854E-11</c:v>
                </c:pt>
                <c:pt idx="188">
                  <c:v>1.0844062677750854E-11</c:v>
                </c:pt>
                <c:pt idx="189">
                  <c:v>1.0844062677750854E-11</c:v>
                </c:pt>
                <c:pt idx="190">
                  <c:v>1.0844062677750854E-11</c:v>
                </c:pt>
                <c:pt idx="191">
                  <c:v>1.0844062677750854E-11</c:v>
                </c:pt>
                <c:pt idx="192">
                  <c:v>1.0844062677750854E-11</c:v>
                </c:pt>
                <c:pt idx="193">
                  <c:v>1.0844062677750854E-11</c:v>
                </c:pt>
                <c:pt idx="194">
                  <c:v>1.0844062677750854E-11</c:v>
                </c:pt>
                <c:pt idx="195">
                  <c:v>1.0844062677750854E-11</c:v>
                </c:pt>
                <c:pt idx="196">
                  <c:v>1.0844062677750854E-11</c:v>
                </c:pt>
                <c:pt idx="197">
                  <c:v>1.0844062677750854E-11</c:v>
                </c:pt>
                <c:pt idx="198">
                  <c:v>1.0844062677750854E-11</c:v>
                </c:pt>
                <c:pt idx="199">
                  <c:v>1.0844062677750854E-11</c:v>
                </c:pt>
                <c:pt idx="200">
                  <c:v>1.0844062677750854E-11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065824"/>
        <c:axId val="184272144"/>
      </c:scatterChart>
      <c:valAx>
        <c:axId val="210906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72144"/>
        <c:crosses val="autoZero"/>
        <c:crossBetween val="midCat"/>
      </c:valAx>
      <c:valAx>
        <c:axId val="18427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906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3.0416016594226112</c:v>
                </c:pt>
                <c:pt idx="2">
                  <c:v>3.6420868235535733</c:v>
                </c:pt>
                <c:pt idx="3">
                  <c:v>4.3615605900495167</c:v>
                </c:pt>
                <c:pt idx="4">
                  <c:v>5.2236829709616872</c:v>
                </c:pt>
                <c:pt idx="5">
                  <c:v>6.2568338533622061</c:v>
                </c:pt>
                <c:pt idx="6">
                  <c:v>7.4950573855780291</c:v>
                </c:pt>
                <c:pt idx="7">
                  <c:v>8.9791958464427726</c:v>
                </c:pt>
                <c:pt idx="8">
                  <c:v>10.758251112240055</c:v>
                </c:pt>
                <c:pt idx="9">
                  <c:v>12.891019520561452</c:v>
                </c:pt>
                <c:pt idx="10">
                  <c:v>15.448055167439469</c:v>
                </c:pt>
                <c:pt idx="11">
                  <c:v>18.514027778122582</c:v>
                </c:pt>
                <c:pt idx="12">
                  <c:v>22.190554640742317</c:v>
                </c:pt>
                <c:pt idx="13">
                  <c:v>26.599602140558645</c:v>
                </c:pt>
                <c:pt idx="14">
                  <c:v>31.887571727377306</c:v>
                </c:pt>
                <c:pt idx="15">
                  <c:v>38.23020834801293</c:v>
                </c:pt>
                <c:pt idx="16">
                  <c:v>45.838497270763497</c:v>
                </c:pt>
                <c:pt idx="17">
                  <c:v>54.965748771884755</c:v>
                </c:pt>
                <c:pt idx="18">
                  <c:v>65.916110490475049</c:v>
                </c:pt>
                <c:pt idx="19">
                  <c:v>79.054795766135484</c:v>
                </c:pt>
                <c:pt idx="20">
                  <c:v>94.820374611380615</c:v>
                </c:pt>
                <c:pt idx="21">
                  <c:v>107.10595572323882</c:v>
                </c:pt>
                <c:pt idx="22">
                  <c:v>119.35679954507492</c:v>
                </c:pt>
                <c:pt idx="23">
                  <c:v>131.57697924145887</c:v>
                </c:pt>
                <c:pt idx="24">
                  <c:v>143.76974745978904</c:v>
                </c:pt>
                <c:pt idx="25">
                  <c:v>155.93775882820458</c:v>
                </c:pt>
                <c:pt idx="26">
                  <c:v>171.11628496027242</c:v>
                </c:pt>
                <c:pt idx="27">
                  <c:v>186.26311995847519</c:v>
                </c:pt>
                <c:pt idx="28">
                  <c:v>201.38120500067484</c:v>
                </c:pt>
                <c:pt idx="29">
                  <c:v>216.47300307155012</c:v>
                </c:pt>
                <c:pt idx="30">
                  <c:v>231.54060536306486</c:v>
                </c:pt>
                <c:pt idx="31">
                  <c:v>186.26311995847519</c:v>
                </c:pt>
                <c:pt idx="32">
                  <c:v>203.53873317127025</c:v>
                </c:pt>
                <c:pt idx="33">
                  <c:v>220.7804177203171</c:v>
                </c:pt>
                <c:pt idx="34">
                  <c:v>237.99119648913987</c:v>
                </c:pt>
                <c:pt idx="35">
                  <c:v>255.17361912197524</c:v>
                </c:pt>
                <c:pt idx="36">
                  <c:v>273.18702358085392</c:v>
                </c:pt>
                <c:pt idx="37">
                  <c:v>291.17373470175522</c:v>
                </c:pt>
                <c:pt idx="38">
                  <c:v>309.13563311670725</c:v>
                </c:pt>
                <c:pt idx="39">
                  <c:v>327.07436305866287</c:v>
                </c:pt>
                <c:pt idx="40">
                  <c:v>344.99137368524407</c:v>
                </c:pt>
                <c:pt idx="41">
                  <c:v>273.18702358085397</c:v>
                </c:pt>
                <c:pt idx="42">
                  <c:v>291.17373470175534</c:v>
                </c:pt>
                <c:pt idx="43">
                  <c:v>309.13563311670737</c:v>
                </c:pt>
                <c:pt idx="44">
                  <c:v>327.07436305866293</c:v>
                </c:pt>
                <c:pt idx="45">
                  <c:v>344.99137368524424</c:v>
                </c:pt>
                <c:pt idx="46">
                  <c:v>362.46207078875108</c:v>
                </c:pt>
                <c:pt idx="47">
                  <c:v>379.91436717004848</c:v>
                </c:pt>
                <c:pt idx="48">
                  <c:v>397.34922679476284</c:v>
                </c:pt>
                <c:pt idx="49">
                  <c:v>414.76752215667602</c:v>
                </c:pt>
                <c:pt idx="50">
                  <c:v>432.17004651391039</c:v>
                </c:pt>
                <c:pt idx="51">
                  <c:v>359.90655706035312</c:v>
                </c:pt>
                <c:pt idx="52">
                  <c:v>376.9359665818497</c:v>
                </c:pt>
                <c:pt idx="53">
                  <c:v>393.94862977502589</c:v>
                </c:pt>
                <c:pt idx="54">
                  <c:v>410.94537139118694</c:v>
                </c:pt>
                <c:pt idx="55">
                  <c:v>427.92694241196983</c:v>
                </c:pt>
                <c:pt idx="56">
                  <c:v>444.04600908498691</c:v>
                </c:pt>
                <c:pt idx="57">
                  <c:v>460.1525454572888</c:v>
                </c:pt>
                <c:pt idx="58">
                  <c:v>476.24705171707609</c:v>
                </c:pt>
                <c:pt idx="59">
                  <c:v>492.32999150089842</c:v>
                </c:pt>
                <c:pt idx="60">
                  <c:v>508.40179569615708</c:v>
                </c:pt>
                <c:pt idx="61">
                  <c:v>434.71547881631068</c:v>
                </c:pt>
                <c:pt idx="62">
                  <c:v>449.98142660551815</c:v>
                </c:pt>
                <c:pt idx="63">
                  <c:v>465.23629811002087</c:v>
                </c:pt>
                <c:pt idx="64">
                  <c:v>480.48050755310373</c:v>
                </c:pt>
                <c:pt idx="65">
                  <c:v>495.71444073866093</c:v>
                </c:pt>
                <c:pt idx="66">
                  <c:v>510.09293342165273</c:v>
                </c:pt>
                <c:pt idx="67">
                  <c:v>524.46286573789178</c:v>
                </c:pt>
                <c:pt idx="68">
                  <c:v>538.82450519567703</c:v>
                </c:pt>
                <c:pt idx="69">
                  <c:v>553.17810388555245</c:v>
                </c:pt>
                <c:pt idx="70">
                  <c:v>567.52389975422022</c:v>
                </c:pt>
                <c:pt idx="71">
                  <c:v>491.90690073068072</c:v>
                </c:pt>
                <c:pt idx="72">
                  <c:v>505.01916305031301</c:v>
                </c:pt>
                <c:pt idx="73">
                  <c:v>518.12422744598666</c:v>
                </c:pt>
                <c:pt idx="74">
                  <c:v>531.22230158885293</c:v>
                </c:pt>
                <c:pt idx="75">
                  <c:v>544.31358207655558</c:v>
                </c:pt>
                <c:pt idx="76">
                  <c:v>556.97627034526056</c:v>
                </c:pt>
                <c:pt idx="77">
                  <c:v>569.63293124428924</c:v>
                </c:pt>
                <c:pt idx="78">
                  <c:v>582.28371752891576</c:v>
                </c:pt>
                <c:pt idx="79">
                  <c:v>594.9287747776724</c:v>
                </c:pt>
                <c:pt idx="80">
                  <c:v>607.56824187809627</c:v>
                </c:pt>
                <c:pt idx="81">
                  <c:v>530.7998901365155</c:v>
                </c:pt>
                <c:pt idx="82">
                  <c:v>542.62475971182016</c:v>
                </c:pt>
                <c:pt idx="83">
                  <c:v>554.44421990140927</c:v>
                </c:pt>
                <c:pt idx="84">
                  <c:v>566.25840225176751</c:v>
                </c:pt>
                <c:pt idx="85">
                  <c:v>578.06743237383034</c:v>
                </c:pt>
                <c:pt idx="86">
                  <c:v>589.87143032914321</c:v>
                </c:pt>
                <c:pt idx="87">
                  <c:v>601.67051098351124</c:v>
                </c:pt>
                <c:pt idx="88">
                  <c:v>613.46478433147638</c:v>
                </c:pt>
                <c:pt idx="89">
                  <c:v>625.25435579455211</c:v>
                </c:pt>
                <c:pt idx="90">
                  <c:v>637.03932649580224</c:v>
                </c:pt>
                <c:pt idx="91">
                  <c:v>558.87514990754164</c:v>
                </c:pt>
                <c:pt idx="92">
                  <c:v>569.2111380217724</c:v>
                </c:pt>
                <c:pt idx="93">
                  <c:v>579.54320491065062</c:v>
                </c:pt>
                <c:pt idx="94">
                  <c:v>589.87143032914321</c:v>
                </c:pt>
                <c:pt idx="95">
                  <c:v>600.1958910119007</c:v>
                </c:pt>
                <c:pt idx="96">
                  <c:v>610.5166608387284</c:v>
                </c:pt>
                <c:pt idx="97">
                  <c:v>620.83381098828954</c:v>
                </c:pt>
                <c:pt idx="98">
                  <c:v>631.14741008106091</c:v>
                </c:pt>
                <c:pt idx="99">
                  <c:v>641.45752431246467</c:v>
                </c:pt>
                <c:pt idx="100">
                  <c:v>651.76421757699529</c:v>
                </c:pt>
                <c:pt idx="101">
                  <c:v>572.58530136295246</c:v>
                </c:pt>
                <c:pt idx="102">
                  <c:v>581.86211774299522</c:v>
                </c:pt>
                <c:pt idx="103">
                  <c:v>591.13585076340439</c:v>
                </c:pt>
                <c:pt idx="104">
                  <c:v>600.40655561428912</c:v>
                </c:pt>
                <c:pt idx="105">
                  <c:v>609.67428564250383</c:v>
                </c:pt>
                <c:pt idx="106">
                  <c:v>618.93909244089252</c:v>
                </c:pt>
                <c:pt idx="107">
                  <c:v>628.20102593191348</c:v>
                </c:pt>
                <c:pt idx="108">
                  <c:v>637.46013444607536</c:v>
                </c:pt>
                <c:pt idx="109">
                  <c:v>646.71646479558228</c:v>
                </c:pt>
                <c:pt idx="110">
                  <c:v>655.97006234354342</c:v>
                </c:pt>
                <c:pt idx="111">
                  <c:v>581.65131546152259</c:v>
                </c:pt>
                <c:pt idx="112">
                  <c:v>589.44994431476971</c:v>
                </c:pt>
                <c:pt idx="113">
                  <c:v>597.24642489948906</c:v>
                </c:pt>
                <c:pt idx="114">
                  <c:v>605.04078921657378</c:v>
                </c:pt>
                <c:pt idx="115">
                  <c:v>612.83306837511452</c:v>
                </c:pt>
                <c:pt idx="116">
                  <c:v>620.62329262851983</c:v>
                </c:pt>
                <c:pt idx="117">
                  <c:v>628.41149140872983</c:v>
                </c:pt>
                <c:pt idx="118">
                  <c:v>636.19769335864555</c:v>
                </c:pt>
                <c:pt idx="119">
                  <c:v>643.98192636288832</c:v>
                </c:pt>
                <c:pt idx="120">
                  <c:v>651.76421757699461</c:v>
                </c:pt>
                <c:pt idx="121">
                  <c:v>584.81318276371178</c:v>
                </c:pt>
                <c:pt idx="122">
                  <c:v>591.5573117222267</c:v>
                </c:pt>
                <c:pt idx="123">
                  <c:v>598.29984034582083</c:v>
                </c:pt>
                <c:pt idx="124">
                  <c:v>605.04078921657356</c:v>
                </c:pt>
                <c:pt idx="125">
                  <c:v>611.78017842045085</c:v>
                </c:pt>
                <c:pt idx="126">
                  <c:v>618.51802756471784</c:v>
                </c:pt>
                <c:pt idx="127">
                  <c:v>625.25435579455075</c:v>
                </c:pt>
                <c:pt idx="128">
                  <c:v>631.98918180889655</c:v>
                </c:pt>
                <c:pt idx="129">
                  <c:v>638.7225238756206</c:v>
                </c:pt>
                <c:pt idx="130">
                  <c:v>645.45439984598477</c:v>
                </c:pt>
                <c:pt idx="131">
                  <c:v>585.8670592528191</c:v>
                </c:pt>
                <c:pt idx="132">
                  <c:v>591.55731172222636</c:v>
                </c:pt>
                <c:pt idx="133">
                  <c:v>597.2464248994886</c:v>
                </c:pt>
                <c:pt idx="134">
                  <c:v>602.93441117113719</c:v>
                </c:pt>
                <c:pt idx="135">
                  <c:v>608.62128267086769</c:v>
                </c:pt>
                <c:pt idx="136">
                  <c:v>614.30705128706597</c:v>
                </c:pt>
                <c:pt idx="137">
                  <c:v>619.99172867004131</c:v>
                </c:pt>
                <c:pt idx="138">
                  <c:v>625.67532623898353</c:v>
                </c:pt>
                <c:pt idx="139">
                  <c:v>631.35785518864975</c:v>
                </c:pt>
                <c:pt idx="140">
                  <c:v>637.03932649580065</c:v>
                </c:pt>
                <c:pt idx="141">
                  <c:v>585.23473810495364</c:v>
                </c:pt>
                <c:pt idx="142">
                  <c:v>590.29291007196321</c:v>
                </c:pt>
                <c:pt idx="143">
                  <c:v>595.3501796585399</c:v>
                </c:pt>
                <c:pt idx="144">
                  <c:v>600.40655561428787</c:v>
                </c:pt>
                <c:pt idx="145">
                  <c:v>605.46204652936558</c:v>
                </c:pt>
                <c:pt idx="146">
                  <c:v>610.51666083872692</c:v>
                </c:pt>
                <c:pt idx="147">
                  <c:v>615.57040682621573</c:v>
                </c:pt>
                <c:pt idx="148">
                  <c:v>620.62329262851881</c:v>
                </c:pt>
                <c:pt idx="149">
                  <c:v>625.67532623898308</c:v>
                </c:pt>
                <c:pt idx="150">
                  <c:v>630.72651551130321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68880"/>
        <c:axId val="184268336"/>
      </c:scatterChart>
      <c:valAx>
        <c:axId val="18426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8336"/>
        <c:crosses val="autoZero"/>
        <c:crossBetween val="midCat"/>
      </c:valAx>
      <c:valAx>
        <c:axId val="184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65072"/>
        <c:axId val="184266704"/>
      </c:scatterChart>
      <c:valAx>
        <c:axId val="184265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6704"/>
        <c:crosses val="autoZero"/>
        <c:crossBetween val="midCat"/>
      </c:valAx>
      <c:valAx>
        <c:axId val="18426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58544"/>
        <c:axId val="184259088"/>
      </c:scatterChart>
      <c:valAx>
        <c:axId val="184258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59088"/>
        <c:crosses val="autoZero"/>
        <c:crossBetween val="midCat"/>
      </c:valAx>
      <c:valAx>
        <c:axId val="18425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58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71056"/>
        <c:axId val="184262352"/>
      </c:scatterChart>
      <c:valAx>
        <c:axId val="184271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2352"/>
        <c:crosses val="autoZero"/>
        <c:crossBetween val="midCat"/>
      </c:valAx>
      <c:valAx>
        <c:axId val="18426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7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67248"/>
        <c:axId val="184259632"/>
      </c:scatterChart>
      <c:valAx>
        <c:axId val="184267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59632"/>
        <c:crosses val="autoZero"/>
        <c:crossBetween val="midCat"/>
      </c:valAx>
      <c:valAx>
        <c:axId val="18425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7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56912"/>
        <c:axId val="184260176"/>
      </c:scatterChart>
      <c:valAx>
        <c:axId val="184256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60176"/>
        <c:crosses val="autoZero"/>
        <c:crossBetween val="midCat"/>
      </c:valAx>
      <c:valAx>
        <c:axId val="1842601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256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A114" sqref="A114:H13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5.88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0.66</v>
      </c>
      <c r="D9" s="36">
        <f t="shared" ref="D9:D18" si="0">C9*$C$5</f>
        <v>3.8808000000000002</v>
      </c>
      <c r="E9" s="37">
        <v>44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10</v>
      </c>
      <c r="C10" s="35">
        <v>0.13</v>
      </c>
      <c r="D10" s="36">
        <f t="shared" si="0"/>
        <v>0.76439999999999997</v>
      </c>
      <c r="E10" s="37">
        <v>200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39</v>
      </c>
      <c r="C11" s="35">
        <v>0.13</v>
      </c>
      <c r="D11" s="36">
        <f t="shared" si="0"/>
        <v>0.76439999999999997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15</v>
      </c>
      <c r="C12" s="35">
        <v>0.08</v>
      </c>
      <c r="D12" s="36">
        <f t="shared" si="0"/>
        <v>0.47039999999999998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5.88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38.9</v>
      </c>
      <c r="C36" s="63"/>
      <c r="D36" s="63"/>
      <c r="E36" s="54"/>
      <c r="F36" s="54"/>
      <c r="G36" s="54"/>
      <c r="H36" s="54"/>
      <c r="I36" s="52">
        <f>IFERROR(B36/A36,"")</f>
        <v>3.2416666666666667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13</v>
      </c>
      <c r="B37" s="63">
        <v>53.7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14.800000000000004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70.400000000000006</v>
      </c>
      <c r="C38" s="63"/>
      <c r="D38" s="63"/>
      <c r="E38" s="54"/>
      <c r="F38" s="54"/>
      <c r="G38" s="54"/>
      <c r="H38" s="54"/>
      <c r="I38" s="56">
        <f t="shared" si="1"/>
        <v>16.700000000000003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15</v>
      </c>
      <c r="B39" s="63">
        <v>88.9</v>
      </c>
      <c r="C39" s="63">
        <v>1</v>
      </c>
      <c r="D39" s="63">
        <v>23.3</v>
      </c>
      <c r="E39" s="54"/>
      <c r="F39" s="54">
        <v>0.5</v>
      </c>
      <c r="G39" s="54">
        <v>0.5</v>
      </c>
      <c r="H39" s="54"/>
      <c r="I39" s="52">
        <f t="shared" si="1"/>
        <v>18.5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16</v>
      </c>
      <c r="B40" s="63">
        <v>78.2</v>
      </c>
      <c r="C40" s="63"/>
      <c r="D40" s="63"/>
      <c r="E40" s="54"/>
      <c r="F40" s="54"/>
      <c r="G40" s="54"/>
      <c r="H40" s="54"/>
      <c r="I40" s="52">
        <f t="shared" si="1"/>
        <v>12.599999999999994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17</v>
      </c>
      <c r="B41" s="63">
        <v>88.3</v>
      </c>
      <c r="C41" s="63"/>
      <c r="D41" s="63"/>
      <c r="E41" s="54"/>
      <c r="F41" s="54"/>
      <c r="G41" s="54"/>
      <c r="H41" s="54"/>
      <c r="I41" s="56">
        <f t="shared" si="1"/>
        <v>10.099999999999994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18</v>
      </c>
      <c r="B42" s="63">
        <v>100.6</v>
      </c>
      <c r="C42" s="63"/>
      <c r="D42" s="63"/>
      <c r="E42" s="54"/>
      <c r="F42" s="54"/>
      <c r="G42" s="54"/>
      <c r="H42" s="54"/>
      <c r="I42" s="56">
        <f t="shared" si="1"/>
        <v>12.299999999999997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19</v>
      </c>
      <c r="B43" s="63">
        <v>113.7</v>
      </c>
      <c r="C43" s="63"/>
      <c r="D43" s="63"/>
      <c r="E43" s="54"/>
      <c r="F43" s="54"/>
      <c r="G43" s="54"/>
      <c r="H43" s="54"/>
      <c r="I43" s="52">
        <f t="shared" si="1"/>
        <v>13.100000000000009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20</v>
      </c>
      <c r="B44" s="63">
        <v>130.19999999999999</v>
      </c>
      <c r="C44" s="63">
        <v>2</v>
      </c>
      <c r="D44" s="63">
        <v>34.1</v>
      </c>
      <c r="E44" s="54">
        <v>0.25</v>
      </c>
      <c r="F44" s="54">
        <v>0.38</v>
      </c>
      <c r="G44" s="54">
        <v>0.38</v>
      </c>
      <c r="H44" s="54"/>
      <c r="I44" s="52">
        <f t="shared" si="1"/>
        <v>16.499999999999986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21</v>
      </c>
      <c r="B45" s="63">
        <v>110.8</v>
      </c>
      <c r="C45" s="63"/>
      <c r="D45" s="63"/>
      <c r="E45" s="54"/>
      <c r="F45" s="54"/>
      <c r="G45" s="54"/>
      <c r="H45" s="54"/>
      <c r="I45" s="52">
        <f t="shared" si="1"/>
        <v>14.700000000000003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22</v>
      </c>
      <c r="B46" s="63">
        <v>126.9</v>
      </c>
      <c r="C46" s="63"/>
      <c r="D46" s="63"/>
      <c r="E46" s="54"/>
      <c r="F46" s="54"/>
      <c r="G46" s="54"/>
      <c r="H46" s="54"/>
      <c r="I46" s="52">
        <f t="shared" si="1"/>
        <v>16.100000000000009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27</v>
      </c>
      <c r="B47" s="63">
        <v>218.4</v>
      </c>
      <c r="C47" s="63">
        <v>3</v>
      </c>
      <c r="D47" s="63">
        <v>54.5</v>
      </c>
      <c r="E47" s="54">
        <v>0.6</v>
      </c>
      <c r="F47" s="54">
        <v>0.2</v>
      </c>
      <c r="G47" s="54">
        <v>0.2</v>
      </c>
      <c r="H47" s="54"/>
      <c r="I47" s="52">
        <f t="shared" si="1"/>
        <v>18.3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32</v>
      </c>
      <c r="B48" s="63">
        <v>243.4</v>
      </c>
      <c r="C48" s="63">
        <v>4</v>
      </c>
      <c r="D48" s="63">
        <v>62.7</v>
      </c>
      <c r="E48" s="54"/>
      <c r="F48" s="54"/>
      <c r="G48" s="54"/>
      <c r="H48" s="54"/>
      <c r="I48" s="52">
        <f t="shared" si="1"/>
        <v>15.9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37</v>
      </c>
      <c r="B49" s="63">
        <v>245.3</v>
      </c>
      <c r="C49" s="63"/>
      <c r="D49" s="63"/>
      <c r="E49" s="54"/>
      <c r="F49" s="54"/>
      <c r="G49" s="54"/>
      <c r="H49" s="54"/>
      <c r="I49" s="52">
        <f t="shared" si="1"/>
        <v>12.920000000000005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42</v>
      </c>
      <c r="B50" s="53">
        <v>311.3</v>
      </c>
      <c r="C50" s="53"/>
      <c r="D50" s="53"/>
      <c r="E50" s="54"/>
      <c r="F50" s="54"/>
      <c r="G50" s="54"/>
      <c r="H50" s="54"/>
      <c r="I50" s="52">
        <f t="shared" si="1"/>
        <v>13.2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43</v>
      </c>
      <c r="B51" s="53">
        <v>324.5</v>
      </c>
      <c r="C51" s="53"/>
      <c r="D51" s="53"/>
      <c r="E51" s="54"/>
      <c r="F51" s="54"/>
      <c r="G51" s="54"/>
      <c r="H51" s="54"/>
      <c r="I51" s="52">
        <f t="shared" si="1"/>
        <v>13.199999999999989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44</v>
      </c>
      <c r="B52" s="53">
        <v>337.8</v>
      </c>
      <c r="C52" s="53">
        <v>5</v>
      </c>
      <c r="D52" s="53">
        <v>337.8</v>
      </c>
      <c r="E52" s="54"/>
      <c r="F52" s="54"/>
      <c r="G52" s="54"/>
      <c r="H52" s="54"/>
      <c r="I52" s="52">
        <f t="shared" si="1"/>
        <v>13.300000000000011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Chêne-liège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122.95</v>
      </c>
      <c r="C62" s="63">
        <v>1</v>
      </c>
      <c r="D62" s="63">
        <v>13.661</v>
      </c>
      <c r="E62" s="54"/>
      <c r="F62" s="54"/>
      <c r="G62" s="54"/>
      <c r="H62" s="54">
        <v>1</v>
      </c>
      <c r="I62" s="56">
        <f>IFERROR(B62/A62,"")</f>
        <v>4.9180000000000001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40</v>
      </c>
      <c r="B63" s="63">
        <v>152.40899999999999</v>
      </c>
      <c r="C63" s="63">
        <v>2</v>
      </c>
      <c r="D63" s="63">
        <v>16.934000000000001</v>
      </c>
      <c r="E63" s="54"/>
      <c r="F63" s="54"/>
      <c r="G63" s="54"/>
      <c r="H63" s="54"/>
      <c r="I63" s="52">
        <f>IF(A63&lt;&gt;0,(B63-(B62-D62))/(A63-A62),"")</f>
        <v>2.8746666666666658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55</v>
      </c>
      <c r="B64" s="63">
        <v>236.506</v>
      </c>
      <c r="C64" s="63">
        <v>3</v>
      </c>
      <c r="D64" s="63">
        <v>26.277999999999999</v>
      </c>
      <c r="E64" s="54"/>
      <c r="F64" s="54"/>
      <c r="G64" s="54"/>
      <c r="H64" s="54"/>
      <c r="I64" s="52">
        <f>IF(A64&lt;&gt;0,(B64-(B63-D63))/(A64-A63),"")</f>
        <v>6.7354000000000003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70</v>
      </c>
      <c r="B65" s="63">
        <v>316.13499999999999</v>
      </c>
      <c r="C65" s="63">
        <v>4</v>
      </c>
      <c r="D65" s="63">
        <v>35.125999999999998</v>
      </c>
      <c r="E65" s="54"/>
      <c r="F65" s="54"/>
      <c r="G65" s="54"/>
      <c r="H65" s="54"/>
      <c r="I65" s="52">
        <f>IF(A65&lt;&gt;0,(B65-(B64-D64))/(A65-A64),"")</f>
        <v>7.0604666666666658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100</v>
      </c>
      <c r="B66" s="63">
        <v>493.99700000000001</v>
      </c>
      <c r="C66" s="63">
        <v>5</v>
      </c>
      <c r="D66" s="63">
        <v>54.889000000000003</v>
      </c>
      <c r="E66" s="54"/>
      <c r="F66" s="54"/>
      <c r="G66" s="54"/>
      <c r="H66" s="54"/>
      <c r="I66" s="52">
        <f t="shared" ref="I66:I81" si="2">IF(A66&lt;&gt;0,(B66-(B65-D65))/(A66-A65),"")</f>
        <v>7.0995999999999997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130</v>
      </c>
      <c r="B67" s="63">
        <v>643.58100000000002</v>
      </c>
      <c r="C67" s="63">
        <v>6</v>
      </c>
      <c r="D67" s="63">
        <v>71.509</v>
      </c>
      <c r="E67" s="54"/>
      <c r="F67" s="54"/>
      <c r="G67" s="54"/>
      <c r="H67" s="54"/>
      <c r="I67" s="52">
        <f t="shared" si="2"/>
        <v>6.8157666666666668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160</v>
      </c>
      <c r="B68" s="63">
        <v>753.41899999999998</v>
      </c>
      <c r="C68" s="63">
        <v>7</v>
      </c>
      <c r="D68" s="63">
        <v>83.712999999999994</v>
      </c>
      <c r="E68" s="54"/>
      <c r="F68" s="54"/>
      <c r="G68" s="54"/>
      <c r="H68" s="54"/>
      <c r="I68" s="52">
        <f t="shared" si="2"/>
        <v>6.0448999999999993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200</v>
      </c>
      <c r="B69" s="53">
        <v>867.399</v>
      </c>
      <c r="C69" s="53">
        <v>8</v>
      </c>
      <c r="D69" s="53">
        <f>B69</f>
        <v>867.399</v>
      </c>
      <c r="E69" s="54"/>
      <c r="F69" s="54"/>
      <c r="G69" s="54"/>
      <c r="H69" s="54"/>
      <c r="I69" s="52">
        <f t="shared" si="2"/>
        <v>4.9423249999999994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pignon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3">
        <v>15.8</v>
      </c>
      <c r="C88" s="63"/>
      <c r="D88" s="63"/>
      <c r="E88" s="54"/>
      <c r="F88" s="54"/>
      <c r="G88" s="54"/>
      <c r="H88" s="93"/>
      <c r="I88" s="56">
        <f>IFERROR(B88/A88,"")</f>
        <v>1.58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f>40.6+2.5</f>
        <v>43.1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2.73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f>64+2.5+6</f>
        <v>72.5</v>
      </c>
      <c r="C90" s="63"/>
      <c r="D90" s="63">
        <f>2.5+6+8.8</f>
        <v>17.3</v>
      </c>
      <c r="E90" s="93"/>
      <c r="F90" s="93"/>
      <c r="G90" s="93"/>
      <c r="H90" s="93">
        <v>1</v>
      </c>
      <c r="I90" s="56">
        <f t="shared" si="3"/>
        <v>2.94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83.9</v>
      </c>
      <c r="C91" s="63"/>
      <c r="D91" s="63">
        <v>11.4</v>
      </c>
      <c r="E91" s="93"/>
      <c r="F91" s="93"/>
      <c r="G91" s="93"/>
      <c r="H91" s="93"/>
      <c r="I91" s="56">
        <f t="shared" si="3"/>
        <v>2.87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50</v>
      </c>
      <c r="B92" s="63">
        <v>100.2</v>
      </c>
      <c r="C92" s="63"/>
      <c r="D92" s="63">
        <v>12.6</v>
      </c>
      <c r="E92" s="93"/>
      <c r="F92" s="93"/>
      <c r="G92" s="93"/>
      <c r="H92" s="93"/>
      <c r="I92" s="56">
        <f t="shared" si="3"/>
        <v>2.7700000000000005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60</v>
      </c>
      <c r="B93" s="63">
        <v>113.3</v>
      </c>
      <c r="C93" s="63"/>
      <c r="D93" s="63">
        <v>13.2</v>
      </c>
      <c r="E93" s="93"/>
      <c r="F93" s="93"/>
      <c r="G93" s="93"/>
      <c r="H93" s="93"/>
      <c r="I93" s="56">
        <f t="shared" si="3"/>
        <v>2.569999999999999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70</v>
      </c>
      <c r="B94" s="63">
        <v>123.8</v>
      </c>
      <c r="C94" s="63"/>
      <c r="D94" s="63">
        <v>13.4</v>
      </c>
      <c r="E94" s="93"/>
      <c r="F94" s="93"/>
      <c r="G94" s="93"/>
      <c r="H94" s="93"/>
      <c r="I94" s="56">
        <f t="shared" si="3"/>
        <v>2.37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80</v>
      </c>
      <c r="B95" s="63">
        <v>132.30000000000001</v>
      </c>
      <c r="C95" s="63"/>
      <c r="D95" s="63">
        <v>14.2</v>
      </c>
      <c r="E95" s="93"/>
      <c r="F95" s="93"/>
      <c r="G95" s="93"/>
      <c r="H95" s="93"/>
      <c r="I95" s="56">
        <f t="shared" si="3"/>
        <v>2.1900000000000022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90</v>
      </c>
      <c r="B96" s="63">
        <v>139</v>
      </c>
      <c r="C96" s="63"/>
      <c r="D96" s="63">
        <v>14</v>
      </c>
      <c r="E96" s="93"/>
      <c r="F96" s="93"/>
      <c r="G96" s="93"/>
      <c r="H96" s="93"/>
      <c r="I96" s="56">
        <f t="shared" si="3"/>
        <v>2.089999999999999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100</v>
      </c>
      <c r="B97" s="63">
        <v>144.4</v>
      </c>
      <c r="C97" s="63"/>
      <c r="D97" s="63">
        <v>13.7</v>
      </c>
      <c r="E97" s="93"/>
      <c r="F97" s="93"/>
      <c r="G97" s="93"/>
      <c r="H97" s="93"/>
      <c r="I97" s="56">
        <f t="shared" si="3"/>
        <v>1.9400000000000006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110</v>
      </c>
      <c r="B98" s="63">
        <v>148.69999999999999</v>
      </c>
      <c r="C98" s="63"/>
      <c r="D98" s="63">
        <v>13.3</v>
      </c>
      <c r="E98" s="93"/>
      <c r="F98" s="93"/>
      <c r="G98" s="93"/>
      <c r="H98" s="93"/>
      <c r="I98" s="56">
        <f t="shared" si="3"/>
        <v>1.7999999999999972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120</v>
      </c>
      <c r="B99" s="63">
        <v>152.1</v>
      </c>
      <c r="C99" s="63"/>
      <c r="D99" s="63">
        <v>12.9</v>
      </c>
      <c r="E99" s="93"/>
      <c r="F99" s="93"/>
      <c r="G99" s="93"/>
      <c r="H99" s="93"/>
      <c r="I99" s="56">
        <f t="shared" si="3"/>
        <v>1.6700000000000017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130</v>
      </c>
      <c r="B100" s="63">
        <v>154.80000000000001</v>
      </c>
      <c r="C100" s="63"/>
      <c r="D100" s="63">
        <v>12.5</v>
      </c>
      <c r="E100" s="68"/>
      <c r="F100" s="68"/>
      <c r="G100" s="68"/>
      <c r="H100" s="68"/>
      <c r="I100" s="56">
        <f t="shared" si="3"/>
        <v>1.5600000000000023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140</v>
      </c>
      <c r="B101" s="63">
        <v>156.9</v>
      </c>
      <c r="C101" s="63"/>
      <c r="D101" s="63">
        <v>12</v>
      </c>
      <c r="E101" s="68"/>
      <c r="F101" s="68"/>
      <c r="G101" s="68"/>
      <c r="H101" s="68"/>
      <c r="I101" s="56">
        <f t="shared" si="3"/>
        <v>1.4599999999999995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150</v>
      </c>
      <c r="B102" s="53">
        <v>158.5</v>
      </c>
      <c r="C102" s="63">
        <v>1</v>
      </c>
      <c r="D102" s="53">
        <f>B102</f>
        <v>158.5</v>
      </c>
      <c r="E102" s="57"/>
      <c r="F102" s="57"/>
      <c r="G102" s="57"/>
      <c r="H102" s="57"/>
      <c r="I102" s="56">
        <f t="shared" si="3"/>
        <v>1.3599999999999994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tauzin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42</v>
      </c>
      <c r="C114" s="63"/>
      <c r="D114" s="63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62+8</f>
        <v>70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76+8+21</f>
        <v>105</v>
      </c>
      <c r="C116" s="63">
        <v>1</v>
      </c>
      <c r="D116" s="63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f>95+21</f>
        <v>116</v>
      </c>
      <c r="C117" s="63"/>
      <c r="D117" s="63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116+21+21</f>
        <v>158</v>
      </c>
      <c r="C118" s="63">
        <v>2</v>
      </c>
      <c r="D118" s="63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f>137+21</f>
        <v>158</v>
      </c>
      <c r="C119" s="63"/>
      <c r="D119" s="63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f>157+21+21</f>
        <v>199</v>
      </c>
      <c r="C120" s="63">
        <v>3</v>
      </c>
      <c r="D120" s="63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3">
        <f>176+21</f>
        <v>197</v>
      </c>
      <c r="C121" s="63"/>
      <c r="D121" s="6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7"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Chêne-liège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pignon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tauzin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152.63300189110146</v>
      </c>
      <c r="T3" s="62">
        <f>IF('Données projet'!E9&gt;30,$R$33-$H$33,LOOKUP('Données projet'!$E$9,$A$3:$A$203,R3:R203)-LOOKUP('Données projet'!$E$9,$A$3:$A$203,$H$3:$H$203))</f>
        <v>236.66430374499453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886.54265074144564</v>
      </c>
      <c r="AO3" s="62">
        <f>IF('Données projet'!E10&gt;30,$AM$33-$H$33,LOOKUP('Données projet'!$E$10,$A$3:$A$203,AM3:AM203)-LOOKUP('Données projet'!$E$10,$A$3:$A$203,$H$3:$H$203))</f>
        <v>254.8922423500004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165.98015798223548</v>
      </c>
      <c r="BJ3" s="62">
        <f>IF('Données projet'!E11&gt;30,$BH$33-$H$33,LOOKUP('Données projet'!$E$11,$A$3:$A$203,BH3:BH203)-LOOKUP('Données projet'!$E$11,$A$3:$A$203,$H$3:$H$203))</f>
        <v>143.97979034100706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335.16942824912076</v>
      </c>
      <c r="CE3" s="62">
        <f>IF('Données projet'!E12&gt;30,$CC$33-$H$33,LOOKUP('Données projet'!$E$12,$A$3:$A$203,CC3:CC203)-LOOKUP('Données projet'!$E$12,$A$3:$A$203,$H$3:$H$203))</f>
        <v>190.00559730122677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3.2416666666666667</v>
      </c>
      <c r="N4" s="14">
        <f>IF('Données projet'!$A$36&gt;35,N3+M4-V3,IF(A4&lt;'Données projet'!$A$36,$K$205^A4,IF(A4='Données projet'!$A$36,'Données projet'!$B$36,N3+M4-V3)))</f>
        <v>1.35673740976754</v>
      </c>
      <c r="O4" s="14">
        <f>N4*VLOOKUP('Données projet'!$B$9,Paramètres!$A$1:$I$89,3,0)*VLOOKUP('Données projet'!$B$9,Paramètres!$A$1:$I$89,5,0)</f>
        <v>0.811328971040989</v>
      </c>
      <c r="P4" s="14">
        <f>EXP(-1.0587+0.8836*LN(O4)+0.284)</f>
        <v>0.38310561741554328</v>
      </c>
      <c r="Q4" s="22">
        <f t="shared" ref="Q4:Q34" si="2">(O4+P4)*0.475*44/12</f>
        <v>2.0803069082284602</v>
      </c>
      <c r="R4" s="62">
        <f t="shared" si="0"/>
        <v>295.41364024156178</v>
      </c>
      <c r="S4" s="62">
        <f ca="1">AVERAGE(OFFSET($R$3,0,0,'Données projet'!$E$9+1,1))-AVERAGE(OFFSET($H$3,0,0,'Données projet'!$E$9+1,1))</f>
        <v>152.63300189110146</v>
      </c>
      <c r="T4" s="62">
        <f>$T$3</f>
        <v>236.66430374499453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4.9180000000000001</v>
      </c>
      <c r="AI4" s="14">
        <f>IF('Données projet'!$A$62&gt;35,AI3+AH4-AQ3,IF(A4&lt;'Données projet'!$A$62,$AF$205^A4,IF(A4='Données projet'!$A$62,'Données projet'!$B$62,AI3+AH4-AQ3)))</f>
        <v>1.2122414824500731</v>
      </c>
      <c r="AJ4" s="14">
        <f>AI4*VLOOKUP('Données projet'!$B$10,Paramètres!$A$1:$I$89,3,0)*VLOOKUP('Données projet'!$B$10,Paramètres!$A$1:$I$89,5,0)</f>
        <v>1.3237676988354798</v>
      </c>
      <c r="AK4" s="14">
        <f>EXP(-1.0587+0.8836*LN(AJ4)+0.284)</f>
        <v>0.59045248319748611</v>
      </c>
      <c r="AL4" s="22">
        <f t="shared" ref="AL4:AL67" si="4">(AJ4+AK4)*0.475*44/12</f>
        <v>3.3339334837074155</v>
      </c>
      <c r="AM4" s="62">
        <f t="shared" ref="AM4:AM67" si="5">AL4+(AD4+AE4)*44/12</f>
        <v>296.66726681704074</v>
      </c>
      <c r="AN4" s="62">
        <f ca="1">AVERAGE(OFFSET($AM$3,0,0,'Données projet'!$E$10+1,1))-AVERAGE(OFFSET($H$3,0,0,'Données projet'!$E$10+1,1))</f>
        <v>886.54265074144564</v>
      </c>
      <c r="AO4" s="62">
        <f>$AO$3</f>
        <v>254.8922423500004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1.58</v>
      </c>
      <c r="BD4" s="13">
        <f>IF('Données projet'!$A$88&gt;35,BD3+BC4-BL3,IF(A4&lt;'Données projet'!$A$88,$BA$205^A4,IF(A4='Données projet'!$A$88,'Données projet'!$B$88,BD3+BC4-BL3)))</f>
        <v>1.3178491739730698</v>
      </c>
      <c r="BE4" s="14">
        <f>BD4*VLOOKUP('Données projet'!$B$11,Paramètres!$A$1:$I$89,3,0)*VLOOKUP('Données projet'!$B$11,Paramètres!$A$1:$I$89,5,0)</f>
        <v>1.5181622484169761</v>
      </c>
      <c r="BF4" s="14">
        <f>EXP(-1.0587+0.8836*LN(BE4)+0.284)</f>
        <v>0.66644576969436631</v>
      </c>
      <c r="BG4" s="22">
        <f t="shared" ref="BG4:BG67" si="7">(BE4+BF4)*0.475*44/12</f>
        <v>3.8048589648772548</v>
      </c>
      <c r="BH4" s="62">
        <f t="shared" ref="BH4:BH67" si="8">BG4+(AY4+AZ4)*44/12</f>
        <v>297.13819229821058</v>
      </c>
      <c r="BI4" s="62">
        <f ca="1">AVERAGE(OFFSET($BH$3,0,0,'Données projet'!$E$11+1,1))-AVERAGE(OFFSET($H$3,0,0,'Données projet'!$E$11+1,1))</f>
        <v>165.98015798223548</v>
      </c>
      <c r="BJ4" s="62">
        <f>$BJ$3</f>
        <v>143.97979034100706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1.2035580357412863</v>
      </c>
      <c r="CA4" s="14">
        <f>EXP(-1.0587+0.8836*LN(BZ4)+0.284)</f>
        <v>0.54281612277887337</v>
      </c>
      <c r="CB4" s="22">
        <f t="shared" ref="CB4:CB67" si="10">(BZ4+CA4)*0.475*44/12</f>
        <v>3.0416016594226112</v>
      </c>
      <c r="CC4" s="62">
        <f t="shared" ref="CC4:CC67" si="11">CB4+(BT4+BU4)*44/12</f>
        <v>296.37493499275593</v>
      </c>
      <c r="CD4" s="62">
        <f ca="1">AVERAGE(OFFSET($CC$3,0,0,'Données projet'!$E$12+1,1))-AVERAGE(OFFSET($H$3,0,0,'Données projet'!$E$12+1,1))</f>
        <v>335.16942824912076</v>
      </c>
      <c r="CE4" s="62">
        <f>$CE$3</f>
        <v>190.00559730122677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3.2416666666666667</v>
      </c>
      <c r="N5" s="14">
        <f>IF('Données projet'!$A$36&gt;35,N4+M5-V4,IF(A5&lt;'Données projet'!$A$36,$K$205^A5,IF(A5='Données projet'!$A$36,'Données projet'!$B$36,N4+M5-V4)))</f>
        <v>1.8407363990627337</v>
      </c>
      <c r="O5" s="14">
        <f>N5*VLOOKUP('Données projet'!$B$9,Paramètres!$A$1:$I$89,3,0)*VLOOKUP('Données projet'!$B$9,Paramètres!$A$1:$I$89,5,0)</f>
        <v>1.1007603666395147</v>
      </c>
      <c r="P5" s="14">
        <f t="shared" ref="P5:P68" si="33">EXP(-1.0587+0.8836*LN(O5)+0.284)</f>
        <v>0.50163959551967263</v>
      </c>
      <c r="Q5" s="22">
        <f t="shared" si="2"/>
        <v>2.7908466007605846</v>
      </c>
      <c r="R5" s="62">
        <f t="shared" si="0"/>
        <v>296.12417993409389</v>
      </c>
      <c r="S5" s="62">
        <f ca="1">AVERAGE(OFFSET($R$3,0,0,'Données projet'!$E$9+1,1))-AVERAGE(OFFSET($H$3,0,0,'Données projet'!$E$9+1,1))</f>
        <v>152.63300189110146</v>
      </c>
      <c r="T5" s="62">
        <f t="shared" ref="T5:T68" si="34">$T$3</f>
        <v>236.66430374499453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4.9180000000000001</v>
      </c>
      <c r="AI5" s="14">
        <f>IF('Données projet'!$A$62&gt;35,AI4+AH5-AQ4,IF(A5&lt;'Données projet'!$A$62,$AF$205^A5,IF(A5='Données projet'!$A$62,'Données projet'!$B$62,AI4+AH5-AQ4)))</f>
        <v>1.4695294117727509</v>
      </c>
      <c r="AJ5" s="14">
        <f>AI5*VLOOKUP('Données projet'!$B$10,Paramètres!$A$1:$I$89,3,0)*VLOOKUP('Données projet'!$B$10,Paramètres!$A$1:$I$89,5,0)</f>
        <v>1.6047261176558438</v>
      </c>
      <c r="AK5" s="14">
        <f t="shared" ref="AK5:AK68" si="35">EXP(-1.0587+0.8836*LN(AJ5)+0.284)</f>
        <v>0.69991341679178576</v>
      </c>
      <c r="AL5" s="22">
        <f t="shared" si="4"/>
        <v>4.013913855829621</v>
      </c>
      <c r="AM5" s="62">
        <f t="shared" si="5"/>
        <v>297.34724718916294</v>
      </c>
      <c r="AN5" s="62">
        <f ca="1">AVERAGE(OFFSET($AM$3,0,0,'Données projet'!$E$10+1,1))-AVERAGE(OFFSET($H$3,0,0,'Données projet'!$E$10+1,1))</f>
        <v>886.54265074144564</v>
      </c>
      <c r="AO5" s="62">
        <f t="shared" ref="AO5:AO68" si="36">$AO$3</f>
        <v>254.8922423500004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1.58</v>
      </c>
      <c r="BD5" s="13">
        <f>IF('Données projet'!$A$88&gt;35,BD4+BC5-BL4,IF(A5&lt;'Données projet'!$A$88,$BA$205^A5,IF(A5='Données projet'!$A$88,'Données projet'!$B$88,BD4+BC5-BL4)))</f>
        <v>1.7367264453415023</v>
      </c>
      <c r="BE5" s="14">
        <f>BD5*VLOOKUP('Données projet'!$B$11,Paramètres!$A$1:$I$89,3,0)*VLOOKUP('Données projet'!$B$11,Paramètres!$A$1:$I$89,5,0)</f>
        <v>2.0007088650334106</v>
      </c>
      <c r="BF5" s="14">
        <f t="shared" ref="BF5:BF68" si="37">EXP(-1.0587+0.8836*LN(BE5)+0.284)</f>
        <v>0.85050751587949325</v>
      </c>
      <c r="BG5" s="22">
        <f t="shared" si="7"/>
        <v>4.9658685300899741</v>
      </c>
      <c r="BH5" s="62">
        <f t="shared" si="8"/>
        <v>298.29920186342326</v>
      </c>
      <c r="BI5" s="62">
        <f ca="1">AVERAGE(OFFSET($BH$3,0,0,'Données projet'!$E$11+1,1))-AVERAGE(OFFSET($H$3,0,0,'Données projet'!$E$11+1,1))</f>
        <v>165.98015798223548</v>
      </c>
      <c r="BJ5" s="62">
        <f t="shared" ref="BJ5:BJ68" si="38">$BJ$3</f>
        <v>143.97979034100706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1.4508733427458165</v>
      </c>
      <c r="CA5" s="14">
        <f t="shared" ref="CA5:CA68" si="39">EXP(-1.0587+0.8836*LN(BZ5)+0.284)</f>
        <v>0.64027698656724041</v>
      </c>
      <c r="CB5" s="22">
        <f t="shared" si="10"/>
        <v>3.6420868235535733</v>
      </c>
      <c r="CC5" s="62">
        <f t="shared" si="11"/>
        <v>296.97542015688691</v>
      </c>
      <c r="CD5" s="62">
        <f ca="1">AVERAGE(OFFSET($CC$3,0,0,'Données projet'!$E$12+1,1))-AVERAGE(OFFSET($H$3,0,0,'Données projet'!$E$12+1,1))</f>
        <v>335.16942824912076</v>
      </c>
      <c r="CE5" s="62">
        <f t="shared" ref="CE5:CE68" si="40">$CE$3</f>
        <v>190.00559730122677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3.2416666666666667</v>
      </c>
      <c r="N6" s="14">
        <f>IF('Données projet'!$A$36&gt;35,N5+M6-V5,IF(A6&lt;'Données projet'!$A$36,$K$205^A6,IF(A6='Données projet'!$A$36,'Données projet'!$B$36,N5+M6-V5)))</f>
        <v>2.497395934129202</v>
      </c>
      <c r="O6" s="14">
        <f>N6*VLOOKUP('Données projet'!$B$9,Paramètres!$A$1:$I$89,3,0)*VLOOKUP('Données projet'!$B$9,Paramètres!$A$1:$I$89,5,0)</f>
        <v>1.4934427686092631</v>
      </c>
      <c r="P6" s="14">
        <f t="shared" si="33"/>
        <v>0.65684832681581917</v>
      </c>
      <c r="Q6" s="22">
        <f t="shared" si="2"/>
        <v>3.745090324532018</v>
      </c>
      <c r="R6" s="62">
        <f t="shared" si="0"/>
        <v>297.07842365786536</v>
      </c>
      <c r="S6" s="62">
        <f ca="1">AVERAGE(OFFSET($R$3,0,0,'Données projet'!$E$9+1,1))-AVERAGE(OFFSET($H$3,0,0,'Données projet'!$E$9+1,1))</f>
        <v>152.63300189110146</v>
      </c>
      <c r="T6" s="62">
        <f t="shared" si="34"/>
        <v>236.66430374499453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4.9180000000000001</v>
      </c>
      <c r="AI6" s="14">
        <f>IF('Données projet'!$A$62&gt;35,AI5+AH6-AQ5,IF(A6&lt;'Données projet'!$A$62,$AF$205^A6,IF(A6='Données projet'!$A$62,'Données projet'!$B$62,AI5+AH6-AQ5)))</f>
        <v>1.7814245126313835</v>
      </c>
      <c r="AJ6" s="14">
        <f>AI6*VLOOKUP('Données projet'!$B$10,Paramètres!$A$1:$I$89,3,0)*VLOOKUP('Données projet'!$B$10,Paramètres!$A$1:$I$89,5,0)</f>
        <v>1.9453155677934708</v>
      </c>
      <c r="AK6" s="14">
        <f t="shared" si="35"/>
        <v>0.82966674702137622</v>
      </c>
      <c r="AL6" s="22">
        <f t="shared" si="4"/>
        <v>4.8330941983025246</v>
      </c>
      <c r="AM6" s="62">
        <f t="shared" si="5"/>
        <v>298.16642753163586</v>
      </c>
      <c r="AN6" s="62">
        <f ca="1">AVERAGE(OFFSET($AM$3,0,0,'Données projet'!$E$10+1,1))-AVERAGE(OFFSET($H$3,0,0,'Données projet'!$E$10+1,1))</f>
        <v>886.54265074144564</v>
      </c>
      <c r="AO6" s="62">
        <f t="shared" si="36"/>
        <v>254.8922423500004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1.58</v>
      </c>
      <c r="BD6" s="13">
        <f>IF('Données projet'!$A$88&gt;35,BD5+BC6-BL5,IF(A6&lt;'Données projet'!$A$88,$BA$205^A6,IF(A6='Données projet'!$A$88,'Données projet'!$B$88,BD5+BC6-BL5)))</f>
        <v>2.2887435114104844</v>
      </c>
      <c r="BE6" s="14">
        <f>BD6*VLOOKUP('Données projet'!$B$11,Paramètres!$A$1:$I$89,3,0)*VLOOKUP('Données projet'!$B$11,Paramètres!$A$1:$I$89,5,0)</f>
        <v>2.6366325251448779</v>
      </c>
      <c r="BF6" s="14">
        <f t="shared" si="37"/>
        <v>1.085404195602055</v>
      </c>
      <c r="BG6" s="22">
        <f t="shared" si="7"/>
        <v>6.4825472886342412</v>
      </c>
      <c r="BH6" s="62">
        <f t="shared" si="8"/>
        <v>299.81588062196755</v>
      </c>
      <c r="BI6" s="62">
        <f ca="1">AVERAGE(OFFSET($BH$3,0,0,'Données projet'!$E$11+1,1))-AVERAGE(OFFSET($H$3,0,0,'Données projet'!$E$11+1,1))</f>
        <v>165.98015798223548</v>
      </c>
      <c r="BJ6" s="62">
        <f t="shared" si="38"/>
        <v>143.97979034100706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1.7490086843995882</v>
      </c>
      <c r="CA6" s="14">
        <f t="shared" si="39"/>
        <v>0.75523663046137834</v>
      </c>
      <c r="CB6" s="22">
        <f t="shared" si="10"/>
        <v>4.3615605900495167</v>
      </c>
      <c r="CC6" s="62">
        <f t="shared" si="11"/>
        <v>297.69489392338284</v>
      </c>
      <c r="CD6" s="62">
        <f ca="1">AVERAGE(OFFSET($CC$3,0,0,'Données projet'!$E$12+1,1))-AVERAGE(OFFSET($H$3,0,0,'Données projet'!$E$12+1,1))</f>
        <v>335.16942824912076</v>
      </c>
      <c r="CE6" s="62">
        <f t="shared" si="40"/>
        <v>190.00559730122677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3.2416666666666667</v>
      </c>
      <c r="N7" s="14">
        <f>IF('Données projet'!$A$36&gt;35,N6+M7-V6,IF(A7&lt;'Données projet'!$A$36,$K$205^A7,IF(A7='Données projet'!$A$36,'Données projet'!$B$36,N6+M7-V6)))</f>
        <v>3.3883104908344395</v>
      </c>
      <c r="O7" s="14">
        <f>N7*VLOOKUP('Données projet'!$B$9,Paramètres!$A$1:$I$89,3,0)*VLOOKUP('Données projet'!$B$9,Paramètres!$A$1:$I$89,5,0)</f>
        <v>2.0262096735189949</v>
      </c>
      <c r="P7" s="14">
        <f t="shared" si="33"/>
        <v>0.86007908525199539</v>
      </c>
      <c r="Q7" s="22">
        <f t="shared" si="2"/>
        <v>5.0269529215261413</v>
      </c>
      <c r="R7" s="62">
        <f t="shared" si="0"/>
        <v>298.36028625485943</v>
      </c>
      <c r="S7" s="62">
        <f ca="1">AVERAGE(OFFSET($R$3,0,0,'Données projet'!$E$9+1,1))-AVERAGE(OFFSET($H$3,0,0,'Données projet'!$E$9+1,1))</f>
        <v>152.63300189110146</v>
      </c>
      <c r="T7" s="62">
        <f t="shared" si="34"/>
        <v>236.66430374499453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4.9180000000000001</v>
      </c>
      <c r="AI7" s="14">
        <f>IF('Données projet'!$A$62&gt;35,AI6+AH7-AQ6,IF(A7&lt;'Données projet'!$A$62,$AF$205^A7,IF(A7='Données projet'!$A$62,'Données projet'!$B$62,AI6+AH7-AQ6)))</f>
        <v>2.1595166920651674</v>
      </c>
      <c r="AJ7" s="14">
        <f>AI7*VLOOKUP('Données projet'!$B$10,Paramètres!$A$1:$I$89,3,0)*VLOOKUP('Données projet'!$B$10,Paramètres!$A$1:$I$89,5,0)</f>
        <v>2.3581922277351626</v>
      </c>
      <c r="AK7" s="14">
        <f t="shared" si="35"/>
        <v>0.98347437639962465</v>
      </c>
      <c r="AL7" s="22">
        <f t="shared" si="4"/>
        <v>5.8200693355347539</v>
      </c>
      <c r="AM7" s="62">
        <f t="shared" si="5"/>
        <v>299.15340266886807</v>
      </c>
      <c r="AN7" s="62">
        <f ca="1">AVERAGE(OFFSET($AM$3,0,0,'Données projet'!$E$10+1,1))-AVERAGE(OFFSET($H$3,0,0,'Données projet'!$E$10+1,1))</f>
        <v>886.54265074144564</v>
      </c>
      <c r="AO7" s="62">
        <f t="shared" si="36"/>
        <v>254.8922423500004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1.58</v>
      </c>
      <c r="BD7" s="13">
        <f>IF('Données projet'!$A$88&gt;35,BD6+BC7-BL6,IF(A7&lt;'Données projet'!$A$88,$BA$205^A7,IF(A7='Données projet'!$A$88,'Données projet'!$B$88,BD6+BC7-BL6)))</f>
        <v>3.0162187459485303</v>
      </c>
      <c r="BE7" s="14">
        <f>BD7*VLOOKUP('Données projet'!$B$11,Paramètres!$A$1:$I$89,3,0)*VLOOKUP('Données projet'!$B$11,Paramètres!$A$1:$I$89,5,0)</f>
        <v>3.4746839953327071</v>
      </c>
      <c r="BF7" s="14">
        <f t="shared" si="37"/>
        <v>1.3851756108378324</v>
      </c>
      <c r="BG7" s="22">
        <f t="shared" si="7"/>
        <v>8.4642554807470223</v>
      </c>
      <c r="BH7" s="62">
        <f t="shared" si="8"/>
        <v>301.79758881408031</v>
      </c>
      <c r="BI7" s="62">
        <f ca="1">AVERAGE(OFFSET($BH$3,0,0,'Données projet'!$E$11+1,1))-AVERAGE(OFFSET($H$3,0,0,'Données projet'!$E$11+1,1))</f>
        <v>165.98015798223548</v>
      </c>
      <c r="BJ7" s="62">
        <f t="shared" si="38"/>
        <v>143.97979034100706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2.108406907742808</v>
      </c>
      <c r="CA7" s="14">
        <f t="shared" si="39"/>
        <v>0.89083690333567267</v>
      </c>
      <c r="CB7" s="22">
        <f t="shared" si="10"/>
        <v>5.2236829709616872</v>
      </c>
      <c r="CC7" s="62">
        <f t="shared" si="11"/>
        <v>298.55701630429502</v>
      </c>
      <c r="CD7" s="62">
        <f ca="1">AVERAGE(OFFSET($CC$3,0,0,'Données projet'!$E$12+1,1))-AVERAGE(OFFSET($H$3,0,0,'Données projet'!$E$12+1,1))</f>
        <v>335.16942824912076</v>
      </c>
      <c r="CE7" s="62">
        <f t="shared" si="40"/>
        <v>190.00559730122677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3.2416666666666667</v>
      </c>
      <c r="N8" s="14">
        <f>IF('Données projet'!$A$36&gt;35,N7+M8-V7,IF(A8&lt;'Données projet'!$A$36,$K$205^A8,IF(A8='Données projet'!$A$36,'Données projet'!$B$36,N7+M8-V7)))</f>
        <v>4.5970475988228996</v>
      </c>
      <c r="O8" s="14">
        <f>N8*VLOOKUP('Données projet'!$B$9,Paramètres!$A$1:$I$89,3,0)*VLOOKUP('Données projet'!$B$9,Paramètres!$A$1:$I$89,5,0)</f>
        <v>2.749034464096094</v>
      </c>
      <c r="P8" s="14">
        <f t="shared" si="33"/>
        <v>1.126190023919071</v>
      </c>
      <c r="Q8" s="22">
        <f t="shared" si="2"/>
        <v>6.7493493166264118</v>
      </c>
      <c r="R8" s="62">
        <f t="shared" si="0"/>
        <v>300.08268264995974</v>
      </c>
      <c r="S8" s="62">
        <f ca="1">AVERAGE(OFFSET($R$3,0,0,'Données projet'!$E$9+1,1))-AVERAGE(OFFSET($H$3,0,0,'Données projet'!$E$9+1,1))</f>
        <v>152.63300189110146</v>
      </c>
      <c r="T8" s="62">
        <f t="shared" si="34"/>
        <v>236.66430374499453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4.9180000000000001</v>
      </c>
      <c r="AI8" s="14">
        <f>IF('Données projet'!$A$62&gt;35,AI7+AH8-AQ7,IF(A8&lt;'Données projet'!$A$62,$AF$205^A8,IF(A8='Données projet'!$A$62,'Données projet'!$B$62,AI7+AH8-AQ7)))</f>
        <v>2.6178557161647564</v>
      </c>
      <c r="AJ8" s="14">
        <f>AI8*VLOOKUP('Données projet'!$B$10,Paramètres!$A$1:$I$89,3,0)*VLOOKUP('Données projet'!$B$10,Paramètres!$A$1:$I$89,5,0)</f>
        <v>2.8586984420519137</v>
      </c>
      <c r="AK8" s="14">
        <f t="shared" si="35"/>
        <v>1.1657956071001969</v>
      </c>
      <c r="AL8" s="22">
        <f t="shared" si="4"/>
        <v>7.0093271356065925</v>
      </c>
      <c r="AM8" s="62">
        <f t="shared" si="5"/>
        <v>300.34266046893993</v>
      </c>
      <c r="AN8" s="62">
        <f ca="1">AVERAGE(OFFSET($AM$3,0,0,'Données projet'!$E$10+1,1))-AVERAGE(OFFSET($H$3,0,0,'Données projet'!$E$10+1,1))</f>
        <v>886.54265074144564</v>
      </c>
      <c r="AO8" s="62">
        <f t="shared" si="36"/>
        <v>254.8922423500004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1.58</v>
      </c>
      <c r="BD8" s="13">
        <f>IF('Données projet'!$A$88&gt;35,BD7+BC8-BL7,IF(A8&lt;'Données projet'!$A$88,$BA$205^A8,IF(A8='Données projet'!$A$88,'Données projet'!$B$88,BD7+BC8-BL7)))</f>
        <v>3.9749213828703591</v>
      </c>
      <c r="BE8" s="14">
        <f>BD8*VLOOKUP('Données projet'!$B$11,Paramètres!$A$1:$I$89,3,0)*VLOOKUP('Données projet'!$B$11,Paramètres!$A$1:$I$89,5,0)</f>
        <v>4.5791094330666535</v>
      </c>
      <c r="BF8" s="14">
        <f t="shared" si="37"/>
        <v>1.7677391340796187</v>
      </c>
      <c r="BG8" s="22">
        <f t="shared" si="7"/>
        <v>11.054094587779758</v>
      </c>
      <c r="BH8" s="62">
        <f t="shared" si="8"/>
        <v>304.38742792111304</v>
      </c>
      <c r="BI8" s="62">
        <f ca="1">AVERAGE(OFFSET($BH$3,0,0,'Données projet'!$E$11+1,1))-AVERAGE(OFFSET($H$3,0,0,'Données projet'!$E$11+1,1))</f>
        <v>165.98015798223548</v>
      </c>
      <c r="BJ8" s="62">
        <f t="shared" si="38"/>
        <v>143.97979034100706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2.5416567271897965</v>
      </c>
      <c r="CA8" s="14">
        <f t="shared" si="39"/>
        <v>1.0507837627789343</v>
      </c>
      <c r="CB8" s="22">
        <f t="shared" si="10"/>
        <v>6.2568338533622061</v>
      </c>
      <c r="CC8" s="62">
        <f t="shared" si="11"/>
        <v>299.59016718669551</v>
      </c>
      <c r="CD8" s="62">
        <f ca="1">AVERAGE(OFFSET($CC$3,0,0,'Données projet'!$E$12+1,1))-AVERAGE(OFFSET($H$3,0,0,'Données projet'!$E$12+1,1))</f>
        <v>335.16942824912076</v>
      </c>
      <c r="CE8" s="62">
        <f t="shared" si="40"/>
        <v>190.00559730122677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3.2416666666666667</v>
      </c>
      <c r="N9" s="14">
        <f>IF('Données projet'!$A$36&gt;35,N8+M9-V8,IF(A9&lt;'Données projet'!$A$36,$K$205^A9,IF(A9='Données projet'!$A$36,'Données projet'!$B$36,N8+M9-V8)))</f>
        <v>6.2369864518050697</v>
      </c>
      <c r="O9" s="14">
        <f>N9*VLOOKUP('Données projet'!$B$9,Paramètres!$A$1:$I$89,3,0)*VLOOKUP('Données projet'!$B$9,Paramètres!$A$1:$I$89,5,0)</f>
        <v>3.7297178981794317</v>
      </c>
      <c r="P9" s="14">
        <f t="shared" si="33"/>
        <v>1.4746364511389511</v>
      </c>
      <c r="Q9" s="22">
        <f t="shared" si="2"/>
        <v>9.0642504917295152</v>
      </c>
      <c r="R9" s="62">
        <f t="shared" si="0"/>
        <v>302.39758382506284</v>
      </c>
      <c r="S9" s="62">
        <f ca="1">AVERAGE(OFFSET($R$3,0,0,'Données projet'!$E$9+1,1))-AVERAGE(OFFSET($H$3,0,0,'Données projet'!$E$9+1,1))</f>
        <v>152.63300189110146</v>
      </c>
      <c r="T9" s="62">
        <f t="shared" si="34"/>
        <v>236.66430374499453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4.9180000000000001</v>
      </c>
      <c r="AI9" s="14">
        <f>IF('Données projet'!$A$62&gt;35,AI8+AH9-AQ8,IF(A9&lt;'Données projet'!$A$62,$AF$205^A9,IF(A9='Données projet'!$A$62,'Données projet'!$B$62,AI8+AH9-AQ8)))</f>
        <v>3.1734732942039621</v>
      </c>
      <c r="AJ9" s="14">
        <f>AI9*VLOOKUP('Données projet'!$B$10,Paramètres!$A$1:$I$89,3,0)*VLOOKUP('Données projet'!$B$10,Paramètres!$A$1:$I$89,5,0)</f>
        <v>3.4654328372707264</v>
      </c>
      <c r="AK9" s="14">
        <f t="shared" si="35"/>
        <v>1.3819164282749641</v>
      </c>
      <c r="AL9" s="22">
        <f t="shared" si="4"/>
        <v>8.4424666374920765</v>
      </c>
      <c r="AM9" s="62">
        <f t="shared" si="5"/>
        <v>301.7757999708254</v>
      </c>
      <c r="AN9" s="62">
        <f ca="1">AVERAGE(OFFSET($AM$3,0,0,'Données projet'!$E$10+1,1))-AVERAGE(OFFSET($H$3,0,0,'Données projet'!$E$10+1,1))</f>
        <v>886.54265074144564</v>
      </c>
      <c r="AO9" s="62">
        <f t="shared" si="36"/>
        <v>254.8922423500004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1.58</v>
      </c>
      <c r="BD9" s="13">
        <f>IF('Données projet'!$A$88&gt;35,BD8+BC9-BL8,IF(A9&lt;'Données projet'!$A$88,$BA$205^A9,IF(A9='Données projet'!$A$88,'Données projet'!$B$88,BD8+BC9-BL8)))</f>
        <v>5.2383468610235946</v>
      </c>
      <c r="BE9" s="14">
        <f>BD9*VLOOKUP('Données projet'!$B$11,Paramètres!$A$1:$I$89,3,0)*VLOOKUP('Données projet'!$B$11,Paramètres!$A$1:$I$89,5,0)</f>
        <v>6.0345755838991808</v>
      </c>
      <c r="BF9" s="14">
        <f t="shared" si="37"/>
        <v>2.2559606317833176</v>
      </c>
      <c r="BG9" s="22">
        <f t="shared" si="7"/>
        <v>14.439350575647017</v>
      </c>
      <c r="BH9" s="62">
        <f t="shared" si="8"/>
        <v>307.77268390898035</v>
      </c>
      <c r="BI9" s="62">
        <f ca="1">AVERAGE(OFFSET($BH$3,0,0,'Données projet'!$E$11+1,1))-AVERAGE(OFFSET($H$3,0,0,'Données projet'!$E$11+1,1))</f>
        <v>165.98015798223548</v>
      </c>
      <c r="BJ9" s="62">
        <f t="shared" si="38"/>
        <v>143.97979034100706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3.0639336719803465</v>
      </c>
      <c r="CA9" s="14">
        <f t="shared" si="39"/>
        <v>1.239448558973546</v>
      </c>
      <c r="CB9" s="22">
        <f t="shared" si="10"/>
        <v>7.4950573855780291</v>
      </c>
      <c r="CC9" s="62">
        <f t="shared" si="11"/>
        <v>300.82839071891135</v>
      </c>
      <c r="CD9" s="62">
        <f ca="1">AVERAGE(OFFSET($CC$3,0,0,'Données projet'!$E$12+1,1))-AVERAGE(OFFSET($H$3,0,0,'Données projet'!$E$12+1,1))</f>
        <v>335.16942824912076</v>
      </c>
      <c r="CE9" s="62">
        <f t="shared" si="40"/>
        <v>190.00559730122677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3.2416666666666667</v>
      </c>
      <c r="N10" s="14">
        <f>IF('Données projet'!$A$36&gt;35,N9+M10-V9,IF(A10&lt;'Données projet'!$A$36,$K$205^A10,IF(A10='Données projet'!$A$36,'Données projet'!$B$36,N9+M10-V9)))</f>
        <v>8.4619528433772508</v>
      </c>
      <c r="O10" s="14">
        <f>N10*VLOOKUP('Données projet'!$B$9,Paramètres!$A$1:$I$89,3,0)*VLOOKUP('Données projet'!$B$9,Paramètres!$A$1:$I$89,5,0)</f>
        <v>5.0602478003395959</v>
      </c>
      <c r="P10" s="14">
        <f t="shared" si="33"/>
        <v>1.9308932034936452</v>
      </c>
      <c r="Q10" s="22">
        <f t="shared" si="2"/>
        <v>12.176237248342895</v>
      </c>
      <c r="R10" s="62">
        <f t="shared" si="0"/>
        <v>305.5095705816762</v>
      </c>
      <c r="S10" s="62">
        <f ca="1">AVERAGE(OFFSET($R$3,0,0,'Données projet'!$E$9+1,1))-AVERAGE(OFFSET($H$3,0,0,'Données projet'!$E$9+1,1))</f>
        <v>152.63300189110146</v>
      </c>
      <c r="T10" s="62">
        <f t="shared" si="34"/>
        <v>236.66430374499453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4.9180000000000001</v>
      </c>
      <c r="AI10" s="14">
        <f>IF('Données projet'!$A$62&gt;35,AI9+AH10-AQ9,IF(A10&lt;'Données projet'!$A$62,$AF$205^A10,IF(A10='Données projet'!$A$62,'Données projet'!$B$62,AI9+AH10-AQ9)))</f>
        <v>3.8470159706815283</v>
      </c>
      <c r="AJ10" s="14">
        <f>AI10*VLOOKUP('Données projet'!$B$10,Paramètres!$A$1:$I$89,3,0)*VLOOKUP('Données projet'!$B$10,Paramètres!$A$1:$I$89,5,0)</f>
        <v>4.2009414399842289</v>
      </c>
      <c r="AK10" s="14">
        <f t="shared" si="35"/>
        <v>1.6381027712794434</v>
      </c>
      <c r="AL10" s="22">
        <f t="shared" si="4"/>
        <v>10.169668667950896</v>
      </c>
      <c r="AM10" s="62">
        <f t="shared" si="5"/>
        <v>303.50300200128419</v>
      </c>
      <c r="AN10" s="62">
        <f ca="1">AVERAGE(OFFSET($AM$3,0,0,'Données projet'!$E$10+1,1))-AVERAGE(OFFSET($H$3,0,0,'Données projet'!$E$10+1,1))</f>
        <v>886.54265074144564</v>
      </c>
      <c r="AO10" s="62">
        <f t="shared" si="36"/>
        <v>254.8922423500004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1.58</v>
      </c>
      <c r="BD10" s="13">
        <f>IF('Données projet'!$A$88&gt;35,BD9+BC10-BL9,IF(A10&lt;'Données projet'!$A$88,$BA$205^A10,IF(A10='Données projet'!$A$88,'Données projet'!$B$88,BD9+BC10-BL9)))</f>
        <v>6.9033510837843668</v>
      </c>
      <c r="BE10" s="14">
        <f>BD10*VLOOKUP('Données projet'!$B$11,Paramètres!$A$1:$I$89,3,0)*VLOOKUP('Données projet'!$B$11,Paramètres!$A$1:$I$89,5,0)</f>
        <v>7.9526604485195902</v>
      </c>
      <c r="BF10" s="14">
        <f t="shared" si="37"/>
        <v>2.8790211598760491</v>
      </c>
      <c r="BG10" s="22">
        <f t="shared" si="7"/>
        <v>18.865178801289069</v>
      </c>
      <c r="BH10" s="62">
        <f t="shared" si="8"/>
        <v>312.19851213462238</v>
      </c>
      <c r="BI10" s="62">
        <f ca="1">AVERAGE(OFFSET($BH$3,0,0,'Données projet'!$E$11+1,1))-AVERAGE(OFFSET($H$3,0,0,'Données projet'!$E$11+1,1))</f>
        <v>165.98015798223548</v>
      </c>
      <c r="BJ10" s="62">
        <f t="shared" si="38"/>
        <v>143.97979034100706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3.6935316425182818</v>
      </c>
      <c r="CA10" s="14">
        <f t="shared" si="39"/>
        <v>1.4619875037646497</v>
      </c>
      <c r="CB10" s="22">
        <f t="shared" si="10"/>
        <v>8.9791958464427726</v>
      </c>
      <c r="CC10" s="62">
        <f t="shared" si="11"/>
        <v>302.31252917977611</v>
      </c>
      <c r="CD10" s="62">
        <f ca="1">AVERAGE(OFFSET($CC$3,0,0,'Données projet'!$E$12+1,1))-AVERAGE(OFFSET($H$3,0,0,'Données projet'!$E$12+1,1))</f>
        <v>335.16942824912076</v>
      </c>
      <c r="CE10" s="62">
        <f t="shared" si="40"/>
        <v>190.00559730122677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3.2416666666666667</v>
      </c>
      <c r="N11" s="14">
        <f>IF('Données projet'!$A$36&gt;35,N10+M11-V10,IF(A11&lt;'Données projet'!$A$36,$K$205^A11,IF(A11='Données projet'!$A$36,'Données projet'!$B$36,N10+M11-V10)))</f>
        <v>11.48064798229872</v>
      </c>
      <c r="O11" s="14">
        <f>N11*VLOOKUP('Données projet'!$B$9,Paramètres!$A$1:$I$89,3,0)*VLOOKUP('Données projet'!$B$9,Paramètres!$A$1:$I$89,5,0)</f>
        <v>6.8654274934146358</v>
      </c>
      <c r="P11" s="14">
        <f t="shared" si="33"/>
        <v>2.5283171051538313</v>
      </c>
      <c r="Q11" s="22">
        <f t="shared" si="2"/>
        <v>16.360771842506747</v>
      </c>
      <c r="R11" s="62">
        <f t="shared" si="0"/>
        <v>309.69410517584004</v>
      </c>
      <c r="S11" s="62">
        <f ca="1">AVERAGE(OFFSET($R$3,0,0,'Données projet'!$E$9+1,1))-AVERAGE(OFFSET($H$3,0,0,'Données projet'!$E$9+1,1))</f>
        <v>152.63300189110146</v>
      </c>
      <c r="T11" s="62">
        <f t="shared" si="34"/>
        <v>236.66430374499453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4.9180000000000001</v>
      </c>
      <c r="AI11" s="14">
        <f>IF('Données projet'!$A$62&gt;35,AI10+AH11-AQ10,IF(A11&lt;'Données projet'!$A$62,$AF$205^A11,IF(A11='Données projet'!$A$62,'Données projet'!$B$62,AI10+AH11-AQ10)))</f>
        <v>4.6635123433080832</v>
      </c>
      <c r="AJ11" s="14">
        <f>AI11*VLOOKUP('Données projet'!$B$10,Paramètres!$A$1:$I$89,3,0)*VLOOKUP('Données projet'!$B$10,Paramètres!$A$1:$I$89,5,0)</f>
        <v>5.092555478892427</v>
      </c>
      <c r="AK11" s="14">
        <f t="shared" si="35"/>
        <v>1.9417821760922518</v>
      </c>
      <c r="AL11" s="22">
        <f t="shared" si="4"/>
        <v>12.251471415764982</v>
      </c>
      <c r="AM11" s="62">
        <f t="shared" si="5"/>
        <v>305.58480474909828</v>
      </c>
      <c r="AN11" s="62">
        <f ca="1">AVERAGE(OFFSET($AM$3,0,0,'Données projet'!$E$10+1,1))-AVERAGE(OFFSET($H$3,0,0,'Données projet'!$E$10+1,1))</f>
        <v>886.54265074144564</v>
      </c>
      <c r="AO11" s="62">
        <f t="shared" si="36"/>
        <v>254.8922423500004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1.58</v>
      </c>
      <c r="BD11" s="13">
        <f>IF('Données projet'!$A$88&gt;35,BD10+BC11-BL10,IF(A11&lt;'Données projet'!$A$88,$BA$205^A11,IF(A11='Données projet'!$A$88,'Données projet'!$B$88,BD10+BC11-BL10)))</f>
        <v>9.0975755234113258</v>
      </c>
      <c r="BE11" s="14">
        <f>BD11*VLOOKUP('Données projet'!$B$11,Paramètres!$A$1:$I$89,3,0)*VLOOKUP('Données projet'!$B$11,Paramètres!$A$1:$I$89,5,0)</f>
        <v>10.480407002969846</v>
      </c>
      <c r="BF11" s="14">
        <f t="shared" si="37"/>
        <v>3.6741611188763685</v>
      </c>
      <c r="BG11" s="22">
        <f t="shared" si="7"/>
        <v>24.652539478882158</v>
      </c>
      <c r="BH11" s="62">
        <f t="shared" si="8"/>
        <v>317.98587281221546</v>
      </c>
      <c r="BI11" s="62">
        <f ca="1">AVERAGE(OFFSET($BH$3,0,0,'Données projet'!$E$11+1,1))-AVERAGE(OFFSET($H$3,0,0,'Données projet'!$E$11+1,1))</f>
        <v>165.98015798223548</v>
      </c>
      <c r="BJ11" s="62">
        <f t="shared" si="38"/>
        <v>143.97979034100706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4.4525036945288354</v>
      </c>
      <c r="CA11" s="14">
        <f t="shared" si="39"/>
        <v>1.7244825900109102</v>
      </c>
      <c r="CB11" s="22">
        <f t="shared" si="10"/>
        <v>10.758251112240055</v>
      </c>
      <c r="CC11" s="62">
        <f t="shared" si="11"/>
        <v>304.09158444557335</v>
      </c>
      <c r="CD11" s="62">
        <f ca="1">AVERAGE(OFFSET($CC$3,0,0,'Données projet'!$E$12+1,1))-AVERAGE(OFFSET($H$3,0,0,'Données projet'!$E$12+1,1))</f>
        <v>335.16942824912076</v>
      </c>
      <c r="CE11" s="62">
        <f t="shared" si="40"/>
        <v>190.00559730122677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3.2416666666666667</v>
      </c>
      <c r="N12" s="14">
        <f>IF('Données projet'!$A$36&gt;35,N11+M12-V11,IF(A12&lt;'Données projet'!$A$36,$K$205^A12,IF(A12='Données projet'!$A$36,'Données projet'!$B$36,N11+M12-V11)))</f>
        <v>15.576224605956899</v>
      </c>
      <c r="O12" s="14">
        <f>N12*VLOOKUP('Données projet'!$B$9,Paramètres!$A$1:$I$89,3,0)*VLOOKUP('Données projet'!$B$9,Paramètres!$A$1:$I$89,5,0)</f>
        <v>9.3145823143622266</v>
      </c>
      <c r="P12" s="14">
        <f t="shared" si="33"/>
        <v>3.3105856774716673</v>
      </c>
      <c r="Q12" s="22">
        <f t="shared" si="2"/>
        <v>21.988834252444033</v>
      </c>
      <c r="R12" s="62">
        <f t="shared" si="0"/>
        <v>315.32216758577732</v>
      </c>
      <c r="S12" s="62">
        <f ca="1">AVERAGE(OFFSET($R$3,0,0,'Données projet'!$E$9+1,1))-AVERAGE(OFFSET($H$3,0,0,'Données projet'!$E$9+1,1))</f>
        <v>152.63300189110146</v>
      </c>
      <c r="T12" s="62">
        <f t="shared" si="34"/>
        <v>236.66430374499453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4.9180000000000001</v>
      </c>
      <c r="AI12" s="14">
        <f>IF('Données projet'!$A$62&gt;35,AI11+AH12-AQ11,IF(A12&lt;'Données projet'!$A$62,$AF$205^A12,IF(A12='Données projet'!$A$62,'Données projet'!$B$62,AI11+AH12-AQ11)))</f>
        <v>5.653303116476005</v>
      </c>
      <c r="AJ12" s="14">
        <f>AI12*VLOOKUP('Données projet'!$B$10,Paramètres!$A$1:$I$89,3,0)*VLOOKUP('Données projet'!$B$10,Paramètres!$A$1:$I$89,5,0)</f>
        <v>6.1734070031917971</v>
      </c>
      <c r="AK12" s="14">
        <f t="shared" si="35"/>
        <v>2.3017591359329619</v>
      </c>
      <c r="AL12" s="22">
        <f t="shared" si="4"/>
        <v>14.760914358975624</v>
      </c>
      <c r="AM12" s="62">
        <f t="shared" si="5"/>
        <v>308.09424769230895</v>
      </c>
      <c r="AN12" s="62">
        <f ca="1">AVERAGE(OFFSET($AM$3,0,0,'Données projet'!$E$10+1,1))-AVERAGE(OFFSET($H$3,0,0,'Données projet'!$E$10+1,1))</f>
        <v>886.54265074144564</v>
      </c>
      <c r="AO12" s="62">
        <f t="shared" si="36"/>
        <v>254.8922423500004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1.58</v>
      </c>
      <c r="BD12" s="13">
        <f>IF('Données projet'!$A$88&gt;35,BD11+BC12-BL11,IF(A12&lt;'Données projet'!$A$88,$BA$205^A12,IF(A12='Données projet'!$A$88,'Données projet'!$B$88,BD11+BC12-BL11)))</f>
        <v>11.989232388685233</v>
      </c>
      <c r="BE12" s="14">
        <f>BD12*VLOOKUP('Données projet'!$B$11,Paramètres!$A$1:$I$89,3,0)*VLOOKUP('Données projet'!$B$11,Paramètres!$A$1:$I$89,5,0)</f>
        <v>13.811595711765387</v>
      </c>
      <c r="BF12" s="14">
        <f t="shared" si="37"/>
        <v>4.6889061169817996</v>
      </c>
      <c r="BG12" s="22">
        <f t="shared" si="7"/>
        <v>32.221707351734686</v>
      </c>
      <c r="BH12" s="62">
        <f t="shared" si="8"/>
        <v>325.55504068506798</v>
      </c>
      <c r="BI12" s="62">
        <f ca="1">AVERAGE(OFFSET($BH$3,0,0,'Données projet'!$E$11+1,1))-AVERAGE(OFFSET($H$3,0,0,'Données projet'!$E$11+1,1))</f>
        <v>165.98015798223548</v>
      </c>
      <c r="BJ12" s="62">
        <f t="shared" si="38"/>
        <v>143.97979034100706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5.3674344959114038</v>
      </c>
      <c r="CA12" s="14">
        <f t="shared" si="39"/>
        <v>2.0341078125449323</v>
      </c>
      <c r="CB12" s="22">
        <f t="shared" si="10"/>
        <v>12.891019520561452</v>
      </c>
      <c r="CC12" s="62">
        <f t="shared" si="11"/>
        <v>306.22435285389474</v>
      </c>
      <c r="CD12" s="62">
        <f ca="1">AVERAGE(OFFSET($CC$3,0,0,'Données projet'!$E$12+1,1))-AVERAGE(OFFSET($H$3,0,0,'Données projet'!$E$12+1,1))</f>
        <v>335.16942824912076</v>
      </c>
      <c r="CE12" s="62">
        <f t="shared" si="40"/>
        <v>190.00559730122677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3.2416666666666667</v>
      </c>
      <c r="N13" s="14">
        <f>IF('Données projet'!$A$36&gt;35,N12+M13-V12,IF(A13&lt;'Données projet'!$A$36,$K$205^A13,IF(A13='Données projet'!$A$36,'Données projet'!$B$36,N12+M13-V12)))</f>
        <v>21.132846625843385</v>
      </c>
      <c r="O13" s="14">
        <f>N13*VLOOKUP('Données projet'!$B$9,Paramètres!$A$1:$I$89,3,0)*VLOOKUP('Données projet'!$B$9,Paramètres!$A$1:$I$89,5,0)</f>
        <v>12.637442282254346</v>
      </c>
      <c r="P13" s="14">
        <f t="shared" si="33"/>
        <v>4.3348903923243052</v>
      </c>
      <c r="Q13" s="22">
        <f t="shared" si="2"/>
        <v>29.560146074891151</v>
      </c>
      <c r="R13" s="62">
        <f t="shared" si="0"/>
        <v>322.89347940822449</v>
      </c>
      <c r="S13" s="62">
        <f ca="1">AVERAGE(OFFSET($R$3,0,0,'Données projet'!$E$9+1,1))-AVERAGE(OFFSET($H$3,0,0,'Données projet'!$E$9+1,1))</f>
        <v>152.63300189110146</v>
      </c>
      <c r="T13" s="62">
        <f t="shared" si="34"/>
        <v>236.66430374499453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4.9180000000000001</v>
      </c>
      <c r="AI13" s="14">
        <f>IF('Données projet'!$A$62&gt;35,AI12+AH13-AQ12,IF(A13&lt;'Données projet'!$A$62,$AF$205^A13,IF(A13='Données projet'!$A$62,'Données projet'!$B$62,AI12+AH13-AQ12)))</f>
        <v>6.8531685506564903</v>
      </c>
      <c r="AJ13" s="14">
        <f>AI13*VLOOKUP('Données projet'!$B$10,Paramètres!$A$1:$I$89,3,0)*VLOOKUP('Données projet'!$B$10,Paramètres!$A$1:$I$89,5,0)</f>
        <v>7.4836600573168877</v>
      </c>
      <c r="AK13" s="14">
        <f t="shared" si="35"/>
        <v>2.7284703635054619</v>
      </c>
      <c r="AL13" s="22">
        <f t="shared" si="4"/>
        <v>17.786127149598922</v>
      </c>
      <c r="AM13" s="62">
        <f t="shared" si="5"/>
        <v>311.11946048293225</v>
      </c>
      <c r="AN13" s="62">
        <f ca="1">AVERAGE(OFFSET($AM$3,0,0,'Données projet'!$E$10+1,1))-AVERAGE(OFFSET($H$3,0,0,'Données projet'!$E$10+1,1))</f>
        <v>886.54265074144564</v>
      </c>
      <c r="AO13" s="62">
        <f t="shared" si="36"/>
        <v>254.8922423500004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15.8</v>
      </c>
      <c r="BB13" s="13">
        <f>VLOOKUP(A13,'Données projet'!$A$87:$I$107,9,0)</f>
        <v>1.58</v>
      </c>
      <c r="BC13" s="13">
        <f t="array" ref="BC13">INDEX(BB:BB,MIN(IF(ISNUMBER(BB13:BB209),ROW(BB13:BB209),"")))</f>
        <v>1.58</v>
      </c>
      <c r="BD13" s="13">
        <f>IF('Données projet'!$A$88&gt;35,BD12+BC13-BL12,IF(A13&lt;'Données projet'!$A$88,$BA$205^A13,IF(A13='Données projet'!$A$88,'Données projet'!$B$88,BD12+BC13-BL12)))</f>
        <v>15.8</v>
      </c>
      <c r="BE13" s="14">
        <f>BD13*VLOOKUP('Données projet'!$B$11,Paramètres!$A$1:$I$89,3,0)*VLOOKUP('Données projet'!$B$11,Paramètres!$A$1:$I$89,5,0)</f>
        <v>18.201599999999999</v>
      </c>
      <c r="BF13" s="14">
        <f t="shared" si="37"/>
        <v>5.9839075812203477</v>
      </c>
      <c r="BG13" s="22">
        <f t="shared" si="7"/>
        <v>42.123092370625436</v>
      </c>
      <c r="BH13" s="62">
        <f t="shared" si="8"/>
        <v>335.45642570395876</v>
      </c>
      <c r="BI13" s="62">
        <f ca="1">AVERAGE(OFFSET($BH$3,0,0,'Données projet'!$E$11+1,1))-AVERAGE(OFFSET($H$3,0,0,'Données projet'!$E$11+1,1))</f>
        <v>165.98015798223548</v>
      </c>
      <c r="BJ13" s="62">
        <f t="shared" si="38"/>
        <v>143.97979034100706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6.4703715132904138</v>
      </c>
      <c r="CA13" s="14">
        <f t="shared" si="39"/>
        <v>2.3993252335647837</v>
      </c>
      <c r="CB13" s="22">
        <f t="shared" si="10"/>
        <v>15.448055167439469</v>
      </c>
      <c r="CC13" s="62">
        <f t="shared" si="11"/>
        <v>308.78138850077278</v>
      </c>
      <c r="CD13" s="62">
        <f ca="1">AVERAGE(OFFSET($CC$3,0,0,'Données projet'!$E$12+1,1))-AVERAGE(OFFSET($H$3,0,0,'Données projet'!$E$12+1,1))</f>
        <v>335.16942824912076</v>
      </c>
      <c r="CE13" s="62">
        <f t="shared" si="40"/>
        <v>190.00559730122677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3.2416666666666667</v>
      </c>
      <c r="N14" s="14">
        <f>IF('Données projet'!$A$36&gt;35,N13+M14-V13,IF(A14&lt;'Données projet'!$A$36,$K$205^A14,IF(A14='Données projet'!$A$36,'Données projet'!$B$36,N13+M14-V13)))</f>
        <v>28.671723592161449</v>
      </c>
      <c r="O14" s="14">
        <f>N14*VLOOKUP('Données projet'!$B$9,Paramètres!$A$1:$I$89,3,0)*VLOOKUP('Données projet'!$B$9,Paramètres!$A$1:$I$89,5,0)</f>
        <v>17.14569070811255</v>
      </c>
      <c r="P14" s="14">
        <f t="shared" si="33"/>
        <v>5.676117927211199</v>
      </c>
      <c r="Q14" s="22">
        <f t="shared" si="2"/>
        <v>39.747983373188866</v>
      </c>
      <c r="R14" s="62">
        <f t="shared" si="0"/>
        <v>333.08131670652216</v>
      </c>
      <c r="S14" s="62">
        <f ca="1">AVERAGE(OFFSET($R$3,0,0,'Données projet'!$E$9+1,1))-AVERAGE(OFFSET($H$3,0,0,'Données projet'!$E$9+1,1))</f>
        <v>152.63300189110146</v>
      </c>
      <c r="T14" s="62">
        <f t="shared" si="34"/>
        <v>236.66430374499453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4.9180000000000001</v>
      </c>
      <c r="AI14" s="14">
        <f>IF('Données projet'!$A$62&gt;35,AI13+AH14-AQ13,IF(A14&lt;'Données projet'!$A$62,$AF$205^A14,IF(A14='Données projet'!$A$62,'Données projet'!$B$62,AI13+AH14-AQ13)))</f>
        <v>8.3076952033280431</v>
      </c>
      <c r="AJ14" s="14">
        <f>AI14*VLOOKUP('Données projet'!$B$10,Paramètres!$A$1:$I$89,3,0)*VLOOKUP('Données projet'!$B$10,Paramètres!$A$1:$I$89,5,0)</f>
        <v>9.072003162034223</v>
      </c>
      <c r="AK14" s="14">
        <f t="shared" si="35"/>
        <v>3.2342873797306178</v>
      </c>
      <c r="AL14" s="22">
        <f t="shared" si="4"/>
        <v>21.433456026907098</v>
      </c>
      <c r="AM14" s="62">
        <f t="shared" si="5"/>
        <v>314.76678936024041</v>
      </c>
      <c r="AN14" s="62">
        <f ca="1">AVERAGE(OFFSET($AM$3,0,0,'Données projet'!$E$10+1,1))-AVERAGE(OFFSET($H$3,0,0,'Données projet'!$E$10+1,1))</f>
        <v>886.54265074144564</v>
      </c>
      <c r="AO14" s="62">
        <f t="shared" si="36"/>
        <v>254.8922423500004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2.73</v>
      </c>
      <c r="BD14" s="13">
        <f>IF('Données projet'!$A$88&gt;35,BD13+BC14-BL13,IF(A14&lt;'Données projet'!$A$88,$BA$205^A14,IF(A14='Données projet'!$A$88,'Données projet'!$B$88,BD13+BC14-BL13)))</f>
        <v>18.53</v>
      </c>
      <c r="BE14" s="14">
        <f>BD14*VLOOKUP('Données projet'!$B$11,Paramètres!$A$1:$I$89,3,0)*VLOOKUP('Données projet'!$B$11,Paramètres!$A$1:$I$89,5,0)</f>
        <v>21.34656</v>
      </c>
      <c r="BF14" s="14">
        <f t="shared" si="37"/>
        <v>6.8888415535866026</v>
      </c>
      <c r="BG14" s="22">
        <f t="shared" si="7"/>
        <v>49.176657705829996</v>
      </c>
      <c r="BH14" s="62">
        <f t="shared" si="8"/>
        <v>342.50999103916331</v>
      </c>
      <c r="BI14" s="62">
        <f ca="1">AVERAGE(OFFSET($BH$3,0,0,'Données projet'!$E$11+1,1))-AVERAGE(OFFSET($H$3,0,0,'Données projet'!$E$11+1,1))</f>
        <v>165.98015798223548</v>
      </c>
      <c r="BJ14" s="62">
        <f t="shared" si="38"/>
        <v>143.97979034100706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7.7999475451243825</v>
      </c>
      <c r="CA14" s="14">
        <f t="shared" si="39"/>
        <v>2.8301162509268609</v>
      </c>
      <c r="CB14" s="22">
        <f t="shared" si="10"/>
        <v>18.514027778122582</v>
      </c>
      <c r="CC14" s="62">
        <f t="shared" si="11"/>
        <v>311.84736111145588</v>
      </c>
      <c r="CD14" s="62">
        <f ca="1">AVERAGE(OFFSET($CC$3,0,0,'Données projet'!$E$12+1,1))-AVERAGE(OFFSET($H$3,0,0,'Données projet'!$E$12+1,1))</f>
        <v>335.16942824912076</v>
      </c>
      <c r="CE14" s="62">
        <f t="shared" si="40"/>
        <v>190.00559730122677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38.9</v>
      </c>
      <c r="L15" s="13">
        <f>VLOOKUP(A15,'Données projet'!$A$35:$I$55,9,0)</f>
        <v>3.2416666666666667</v>
      </c>
      <c r="M15" s="13">
        <f t="array" ref="M15">INDEX(L:L,MIN(IF(ISNUMBER(L15:L211),ROW(L15:L211),"")))</f>
        <v>3.2416666666666667</v>
      </c>
      <c r="N15" s="14">
        <f>IF('Données projet'!$A$36&gt;35,N14+M15-V14,IF(A15&lt;'Données projet'!$A$36,$K$205^A15,IF(A15='Données projet'!$A$36,'Données projet'!$B$36,N14+M15-V14)))</f>
        <v>38.9</v>
      </c>
      <c r="O15" s="14">
        <f>N15*VLOOKUP('Données projet'!$B$9,Paramètres!$A$1:$I$89,3,0)*VLOOKUP('Données projet'!$B$9,Paramètres!$A$1:$I$89,5,0)</f>
        <v>23.2622</v>
      </c>
      <c r="P15" s="14">
        <f t="shared" si="33"/>
        <v>7.432325112684885</v>
      </c>
      <c r="Q15" s="22">
        <f t="shared" si="2"/>
        <v>53.459631237926175</v>
      </c>
      <c r="R15" s="62">
        <f t="shared" si="0"/>
        <v>346.79296457125952</v>
      </c>
      <c r="S15" s="62">
        <f ca="1">AVERAGE(OFFSET($R$3,0,0,'Données projet'!$E$9+1,1))-AVERAGE(OFFSET($H$3,0,0,'Données projet'!$E$9+1,1))</f>
        <v>152.63300189110146</v>
      </c>
      <c r="T15" s="62">
        <f t="shared" si="34"/>
        <v>236.66430374499453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4.9180000000000001</v>
      </c>
      <c r="AI15" s="14">
        <f>IF('Données projet'!$A$62&gt;35,AI14+AH15-AQ14,IF(A15&lt;'Données projet'!$A$62,$AF$205^A15,IF(A15='Données projet'!$A$62,'Données projet'!$B$62,AI14+AH15-AQ14)))</f>
        <v>10.070932749025749</v>
      </c>
      <c r="AJ15" s="14">
        <f>AI15*VLOOKUP('Données projet'!$B$10,Paramètres!$A$1:$I$89,3,0)*VLOOKUP('Données projet'!$B$10,Paramètres!$A$1:$I$89,5,0)</f>
        <v>10.997458561936117</v>
      </c>
      <c r="AK15" s="14">
        <f t="shared" si="35"/>
        <v>3.8338751978398764</v>
      </c>
      <c r="AL15" s="22">
        <f t="shared" si="4"/>
        <v>25.831239631609851</v>
      </c>
      <c r="AM15" s="62">
        <f t="shared" si="5"/>
        <v>319.16457296494315</v>
      </c>
      <c r="AN15" s="62">
        <f ca="1">AVERAGE(OFFSET($AM$3,0,0,'Données projet'!$E$10+1,1))-AVERAGE(OFFSET($H$3,0,0,'Données projet'!$E$10+1,1))</f>
        <v>886.54265074144564</v>
      </c>
      <c r="AO15" s="62">
        <f t="shared" si="36"/>
        <v>254.8922423500004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2.73</v>
      </c>
      <c r="BD15" s="13">
        <f>IF('Données projet'!$A$88&gt;35,BD14+BC15-BL14,IF(A15&lt;'Données projet'!$A$88,$BA$205^A15,IF(A15='Données projet'!$A$88,'Données projet'!$B$88,BD14+BC15-BL14)))</f>
        <v>21.26</v>
      </c>
      <c r="BE15" s="14">
        <f>BD15*VLOOKUP('Données projet'!$B$11,Paramètres!$A$1:$I$89,3,0)*VLOOKUP('Données projet'!$B$11,Paramètres!$A$1:$I$89,5,0)</f>
        <v>24.491520000000001</v>
      </c>
      <c r="BF15" s="14">
        <f t="shared" si="37"/>
        <v>7.7783301379791538</v>
      </c>
      <c r="BG15" s="22">
        <f t="shared" si="7"/>
        <v>56.203322323647022</v>
      </c>
      <c r="BH15" s="62">
        <f t="shared" si="8"/>
        <v>349.53665565698032</v>
      </c>
      <c r="BI15" s="62">
        <f ca="1">AVERAGE(OFFSET($BH$3,0,0,'Données projet'!$E$11+1,1))-AVERAGE(OFFSET($H$3,0,0,'Données projet'!$E$11+1,1))</f>
        <v>165.98015798223548</v>
      </c>
      <c r="BJ15" s="62">
        <f t="shared" si="38"/>
        <v>143.97979034100706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9.4027339205678775</v>
      </c>
      <c r="CA15" s="14">
        <f t="shared" si="39"/>
        <v>3.3382543899061803</v>
      </c>
      <c r="CB15" s="22">
        <f t="shared" si="10"/>
        <v>22.190554640742317</v>
      </c>
      <c r="CC15" s="62">
        <f t="shared" si="11"/>
        <v>315.52388797407565</v>
      </c>
      <c r="CD15" s="62">
        <f ca="1">AVERAGE(OFFSET($CC$3,0,0,'Données projet'!$E$12+1,1))-AVERAGE(OFFSET($H$3,0,0,'Données projet'!$E$12+1,1))</f>
        <v>335.16942824912076</v>
      </c>
      <c r="CE15" s="62">
        <f t="shared" si="40"/>
        <v>190.00559730122677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53.7</v>
      </c>
      <c r="L16" s="13">
        <f>VLOOKUP(A16,'Données projet'!$A$35:$I$55,9,0)</f>
        <v>14.800000000000004</v>
      </c>
      <c r="M16" s="13">
        <f t="array" ref="M16">INDEX(L:L,MIN(IF(ISNUMBER(L16:L212),ROW(L16:L212),"")))</f>
        <v>14.800000000000004</v>
      </c>
      <c r="N16" s="14">
        <f>IF('Données projet'!$A$36&gt;35,N15+M16-V15,IF(A16&lt;'Données projet'!$A$36,$K$205^A16,IF(A16='Données projet'!$A$36,'Données projet'!$B$36,N15+M16-V15)))</f>
        <v>53.7</v>
      </c>
      <c r="O16" s="14">
        <f>N16*VLOOKUP('Données projet'!$B$9,Paramètres!$A$1:$I$89,3,0)*VLOOKUP('Données projet'!$B$9,Paramètres!$A$1:$I$89,5,0)</f>
        <v>32.1126</v>
      </c>
      <c r="P16" s="14">
        <f t="shared" si="33"/>
        <v>9.8821287968694467</v>
      </c>
      <c r="Q16" s="22">
        <f t="shared" si="2"/>
        <v>73.140819321214281</v>
      </c>
      <c r="R16" s="62">
        <f t="shared" si="0"/>
        <v>366.47415265454759</v>
      </c>
      <c r="S16" s="62">
        <f ca="1">AVERAGE(OFFSET($R$3,0,0,'Données projet'!$E$9+1,1))-AVERAGE(OFFSET($H$3,0,0,'Données projet'!$E$9+1,1))</f>
        <v>152.63300189110146</v>
      </c>
      <c r="T16" s="62">
        <f t="shared" si="34"/>
        <v>236.66430374499453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4.9180000000000001</v>
      </c>
      <c r="AI16" s="14">
        <f>IF('Données projet'!$A$62&gt;35,AI15+AH16-AQ15,IF(A16&lt;'Données projet'!$A$62,$AF$205^A16,IF(A16='Données projet'!$A$62,'Données projet'!$B$62,AI15+AH16-AQ15)))</f>
        <v>12.208402445333963</v>
      </c>
      <c r="AJ16" s="14">
        <f>AI16*VLOOKUP('Données projet'!$B$10,Paramètres!$A$1:$I$89,3,0)*VLOOKUP('Données projet'!$B$10,Paramètres!$A$1:$I$89,5,0)</f>
        <v>13.331575470304687</v>
      </c>
      <c r="AK16" s="14">
        <f t="shared" si="35"/>
        <v>4.5446175020588271</v>
      </c>
      <c r="AL16" s="22">
        <f t="shared" si="4"/>
        <v>31.134369426866446</v>
      </c>
      <c r="AM16" s="62">
        <f t="shared" si="5"/>
        <v>324.46770276019976</v>
      </c>
      <c r="AN16" s="62">
        <f ca="1">AVERAGE(OFFSET($AM$3,0,0,'Données projet'!$E$10+1,1))-AVERAGE(OFFSET($H$3,0,0,'Données projet'!$E$10+1,1))</f>
        <v>886.54265074144564</v>
      </c>
      <c r="AO16" s="62">
        <f t="shared" si="36"/>
        <v>254.8922423500004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2.73</v>
      </c>
      <c r="BD16" s="13">
        <f>IF('Données projet'!$A$88&gt;35,BD15+BC16-BL15,IF(A16&lt;'Données projet'!$A$88,$BA$205^A16,IF(A16='Données projet'!$A$88,'Données projet'!$B$88,BD15+BC16-BL15)))</f>
        <v>23.990000000000002</v>
      </c>
      <c r="BE16" s="14">
        <f>BD16*VLOOKUP('Données projet'!$B$11,Paramètres!$A$1:$I$89,3,0)*VLOOKUP('Données projet'!$B$11,Paramètres!$A$1:$I$89,5,0)</f>
        <v>27.636479999999999</v>
      </c>
      <c r="BF16" s="14">
        <f t="shared" si="37"/>
        <v>8.6545841000519594</v>
      </c>
      <c r="BG16" s="22">
        <f t="shared" si="7"/>
        <v>63.206936640923821</v>
      </c>
      <c r="BH16" s="62">
        <f t="shared" si="8"/>
        <v>356.54026997425711</v>
      </c>
      <c r="BI16" s="62">
        <f ca="1">AVERAGE(OFFSET($BH$3,0,0,'Données projet'!$E$11+1,1))-AVERAGE(OFFSET($H$3,0,0,'Données projet'!$E$11+1,1))</f>
        <v>165.98015798223548</v>
      </c>
      <c r="BJ16" s="62">
        <f t="shared" si="38"/>
        <v>143.97979034100706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11.334871762857208</v>
      </c>
      <c r="CA16" s="14">
        <f t="shared" si="39"/>
        <v>3.9376270738271817</v>
      </c>
      <c r="CB16" s="22">
        <f t="shared" si="10"/>
        <v>26.599602140558645</v>
      </c>
      <c r="CC16" s="62">
        <f t="shared" si="11"/>
        <v>319.93293547389197</v>
      </c>
      <c r="CD16" s="62">
        <f ca="1">AVERAGE(OFFSET($CC$3,0,0,'Données projet'!$E$12+1,1))-AVERAGE(OFFSET($H$3,0,0,'Données projet'!$E$12+1,1))</f>
        <v>335.16942824912076</v>
      </c>
      <c r="CE16" s="62">
        <f t="shared" si="40"/>
        <v>190.00559730122677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70.400000000000006</v>
      </c>
      <c r="L17" s="13">
        <f>VLOOKUP(A17,'Données projet'!$A$35:$I$55,9,0)</f>
        <v>16.700000000000003</v>
      </c>
      <c r="M17" s="13">
        <f t="array" ref="M17">INDEX(L:L,MIN(IF(ISNUMBER(L17:L213),ROW(L17:L213),"")))</f>
        <v>16.700000000000003</v>
      </c>
      <c r="N17" s="14">
        <f>IF('Données projet'!$A$36&gt;35,N16+M17-V16,IF(A17&lt;'Données projet'!$A$36,$K$205^A17,IF(A17='Données projet'!$A$36,'Données projet'!$B$36,N16+M17-V16)))</f>
        <v>70.400000000000006</v>
      </c>
      <c r="O17" s="14">
        <f>N17*VLOOKUP('Données projet'!$B$9,Paramètres!$A$1:$I$89,3,0)*VLOOKUP('Données projet'!$B$9,Paramètres!$A$1:$I$89,5,0)</f>
        <v>42.09920000000001</v>
      </c>
      <c r="P17" s="14">
        <f t="shared" si="33"/>
        <v>12.553372982508934</v>
      </c>
      <c r="Q17" s="22">
        <f t="shared" si="2"/>
        <v>95.186564611203053</v>
      </c>
      <c r="R17" s="62">
        <f t="shared" si="0"/>
        <v>388.51989794453635</v>
      </c>
      <c r="S17" s="62">
        <f ca="1">AVERAGE(OFFSET($R$3,0,0,'Données projet'!$E$9+1,1))-AVERAGE(OFFSET($H$3,0,0,'Données projet'!$E$9+1,1))</f>
        <v>152.63300189110146</v>
      </c>
      <c r="T17" s="62">
        <f t="shared" si="34"/>
        <v>236.66430374499453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4.9180000000000001</v>
      </c>
      <c r="AI17" s="14">
        <f>IF('Données projet'!$A$62&gt;35,AI16+AH17-AQ16,IF(A17&lt;'Données projet'!$A$62,$AF$205^A17,IF(A17='Données projet'!$A$62,'Données projet'!$B$62,AI16+AH17-AQ16)))</f>
        <v>14.79953187867874</v>
      </c>
      <c r="AJ17" s="14">
        <f>AI17*VLOOKUP('Données projet'!$B$10,Paramètres!$A$1:$I$89,3,0)*VLOOKUP('Données projet'!$B$10,Paramètres!$A$1:$I$89,5,0)</f>
        <v>16.161088811517185</v>
      </c>
      <c r="AK17" s="14">
        <f t="shared" si="35"/>
        <v>5.3871206479689988</v>
      </c>
      <c r="AL17" s="22">
        <f t="shared" si="4"/>
        <v>37.529798141938436</v>
      </c>
      <c r="AM17" s="62">
        <f t="shared" si="5"/>
        <v>330.86313147527176</v>
      </c>
      <c r="AN17" s="62">
        <f ca="1">AVERAGE(OFFSET($AM$3,0,0,'Données projet'!$E$10+1,1))-AVERAGE(OFFSET($H$3,0,0,'Données projet'!$E$10+1,1))</f>
        <v>886.54265074144564</v>
      </c>
      <c r="AO17" s="62">
        <f t="shared" si="36"/>
        <v>254.8922423500004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2.73</v>
      </c>
      <c r="BD17" s="13">
        <f>IF('Données projet'!$A$88&gt;35,BD16+BC17-BL16,IF(A17&lt;'Données projet'!$A$88,$BA$205^A17,IF(A17='Données projet'!$A$88,'Données projet'!$B$88,BD16+BC17-BL16)))</f>
        <v>26.720000000000002</v>
      </c>
      <c r="BE17" s="14">
        <f>BD17*VLOOKUP('Données projet'!$B$11,Paramètres!$A$1:$I$89,3,0)*VLOOKUP('Données projet'!$B$11,Paramètres!$A$1:$I$89,5,0)</f>
        <v>30.781440000000003</v>
      </c>
      <c r="BF17" s="14">
        <f t="shared" si="37"/>
        <v>9.5192814166347706</v>
      </c>
      <c r="BG17" s="22">
        <f t="shared" si="7"/>
        <v>70.190423133972232</v>
      </c>
      <c r="BH17" s="62">
        <f t="shared" si="8"/>
        <v>363.52375646730553</v>
      </c>
      <c r="BI17" s="62">
        <f ca="1">AVERAGE(OFFSET($BH$3,0,0,'Données projet'!$E$11+1,1))-AVERAGE(OFFSET($H$3,0,0,'Données projet'!$E$11+1,1))</f>
        <v>165.98015798223548</v>
      </c>
      <c r="BJ17" s="62">
        <f t="shared" si="38"/>
        <v>143.97979034100706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13.664038455813092</v>
      </c>
      <c r="CA17" s="14">
        <f t="shared" si="39"/>
        <v>4.6446151675614402</v>
      </c>
      <c r="CB17" s="22">
        <f t="shared" si="10"/>
        <v>31.887571727377306</v>
      </c>
      <c r="CC17" s="62">
        <f t="shared" si="11"/>
        <v>325.22090506071061</v>
      </c>
      <c r="CD17" s="62">
        <f ca="1">AVERAGE(OFFSET($CC$3,0,0,'Données projet'!$E$12+1,1))-AVERAGE(OFFSET($H$3,0,0,'Données projet'!$E$12+1,1))</f>
        <v>335.16942824912076</v>
      </c>
      <c r="CE17" s="62">
        <f t="shared" si="40"/>
        <v>190.00559730122677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88.9</v>
      </c>
      <c r="L18" s="13">
        <f>VLOOKUP(A18,'Données projet'!$A$35:$I$55,9,0)</f>
        <v>18.5</v>
      </c>
      <c r="M18" s="13">
        <f t="array" ref="M18">INDEX(L:L,MIN(IF(ISNUMBER(L18:L214),ROW(L18:L214),"")))</f>
        <v>18.5</v>
      </c>
      <c r="N18" s="14">
        <f>IF('Données projet'!$A$36&gt;35,N17+M18-V17,IF(A18&lt;'Données projet'!$A$36,$K$205^A18,IF(A18='Données projet'!$A$36,'Données projet'!$B$36,N17+M18-V17)))</f>
        <v>88.9</v>
      </c>
      <c r="O18" s="14">
        <f>N18*VLOOKUP('Données projet'!$B$9,Paramètres!$A$1:$I$89,3,0)*VLOOKUP('Données projet'!$B$9,Paramètres!$A$1:$I$89,5,0)</f>
        <v>53.162200000000006</v>
      </c>
      <c r="P18" s="14">
        <f t="shared" si="33"/>
        <v>15.427474137354887</v>
      </c>
      <c r="Q18" s="22">
        <f t="shared" si="2"/>
        <v>119.46034912255978</v>
      </c>
      <c r="R18" s="62">
        <f t="shared" si="0"/>
        <v>412.79368245589308</v>
      </c>
      <c r="S18" s="62">
        <f ca="1">AVERAGE(OFFSET($R$3,0,0,'Données projet'!$E$9+1,1))-AVERAGE(OFFSET($H$3,0,0,'Données projet'!$E$9+1,1))</f>
        <v>152.63300189110146</v>
      </c>
      <c r="T18" s="62">
        <f t="shared" si="34"/>
        <v>236.66430374499453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23.3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0.22500000000000001</v>
      </c>
      <c r="Y18" s="17">
        <f>IF(ISNA(VLOOKUP(A18,'Données projet'!$A$35:$I$55,7,0)),0%,VLOOKUP(A18,'Données projet'!$A$35:$I$55,7,0))</f>
        <v>0.5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4.1424246881442572</v>
      </c>
      <c r="AB18" s="23">
        <f>EXP(-LN(2)/2)*AB17+(1-EXP(-LN(2)/2))/(LN(2)/2)*V18*Y18*VLOOKUP('Données projet'!$B$9,Paramètres!$A$1:$I$89,3,0)*0.475*44/12</f>
        <v>7.8879227471776305</v>
      </c>
      <c r="AC18" s="24">
        <f t="shared" si="3"/>
        <v>12.030347435321888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4.9180000000000001</v>
      </c>
      <c r="AI18" s="14">
        <f>IF('Données projet'!$A$62&gt;35,AI17+AH18-AQ17,IF(A18&lt;'Données projet'!$A$62,$AF$205^A18,IF(A18='Données projet'!$A$62,'Données projet'!$B$62,AI17+AH18-AQ17)))</f>
        <v>17.940606464176636</v>
      </c>
      <c r="AJ18" s="14">
        <f>AI18*VLOOKUP('Données projet'!$B$10,Paramètres!$A$1:$I$89,3,0)*VLOOKUP('Données projet'!$B$10,Paramètres!$A$1:$I$89,5,0)</f>
        <v>19.591142258880886</v>
      </c>
      <c r="AK18" s="14">
        <f t="shared" si="35"/>
        <v>6.3858110968913522</v>
      </c>
      <c r="AL18" s="22">
        <f t="shared" si="4"/>
        <v>45.24319376130331</v>
      </c>
      <c r="AM18" s="62">
        <f t="shared" si="5"/>
        <v>338.57652709463662</v>
      </c>
      <c r="AN18" s="62">
        <f ca="1">AVERAGE(OFFSET($AM$3,0,0,'Données projet'!$E$10+1,1))-AVERAGE(OFFSET($H$3,0,0,'Données projet'!$E$10+1,1))</f>
        <v>886.54265074144564</v>
      </c>
      <c r="AO18" s="62">
        <f t="shared" si="36"/>
        <v>254.8922423500004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2.73</v>
      </c>
      <c r="BD18" s="13">
        <f>IF('Données projet'!$A$88&gt;35,BD17+BC18-BL17,IF(A18&lt;'Données projet'!$A$88,$BA$205^A18,IF(A18='Données projet'!$A$88,'Données projet'!$B$88,BD17+BC18-BL17)))</f>
        <v>29.450000000000003</v>
      </c>
      <c r="BE18" s="14">
        <f>BD18*VLOOKUP('Données projet'!$B$11,Paramètres!$A$1:$I$89,3,0)*VLOOKUP('Données projet'!$B$11,Paramètres!$A$1:$I$89,5,0)</f>
        <v>33.926400000000001</v>
      </c>
      <c r="BF18" s="14">
        <f t="shared" si="37"/>
        <v>10.373737294827553</v>
      </c>
      <c r="BG18" s="22">
        <f t="shared" si="7"/>
        <v>77.156072455157982</v>
      </c>
      <c r="BH18" s="62">
        <f t="shared" si="8"/>
        <v>370.4894057884913</v>
      </c>
      <c r="BI18" s="62">
        <f ca="1">AVERAGE(OFFSET($BH$3,0,0,'Données projet'!$E$11+1,1))-AVERAGE(OFFSET($H$3,0,0,'Données projet'!$E$11+1,1))</f>
        <v>165.98015798223548</v>
      </c>
      <c r="BJ18" s="62">
        <f t="shared" si="38"/>
        <v>143.97979034100706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16.471818193281052</v>
      </c>
      <c r="CA18" s="14">
        <f t="shared" si="39"/>
        <v>5.4785406668220675</v>
      </c>
      <c r="CB18" s="22">
        <f t="shared" si="10"/>
        <v>38.23020834801293</v>
      </c>
      <c r="CC18" s="62">
        <f t="shared" si="11"/>
        <v>331.56354168134624</v>
      </c>
      <c r="CD18" s="62">
        <f ca="1">AVERAGE(OFFSET($CC$3,0,0,'Données projet'!$E$12+1,1))-AVERAGE(OFFSET($H$3,0,0,'Données projet'!$E$12+1,1))</f>
        <v>335.16942824912076</v>
      </c>
      <c r="CE18" s="62">
        <f t="shared" si="40"/>
        <v>190.00559730122677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78.2</v>
      </c>
      <c r="L19" s="13">
        <f>VLOOKUP(A19,'Données projet'!$A$35:$I$55,9,0)</f>
        <v>12.599999999999994</v>
      </c>
      <c r="M19" s="13">
        <f t="array" ref="M19">INDEX(L:L,MIN(IF(ISNUMBER(L19:L215),ROW(L19:L215),"")))</f>
        <v>12.599999999999994</v>
      </c>
      <c r="N19" s="14">
        <f>IF('Données projet'!$A$36&gt;35,N18+M19-V18,IF(A19&lt;'Données projet'!$A$36,$K$205^A19,IF(A19='Données projet'!$A$36,'Données projet'!$B$36,N18+M19-V18)))</f>
        <v>78.2</v>
      </c>
      <c r="O19" s="14">
        <f>N19*VLOOKUP('Données projet'!$B$9,Paramètres!$A$1:$I$89,3,0)*VLOOKUP('Données projet'!$B$9,Paramètres!$A$1:$I$89,5,0)</f>
        <v>46.763600000000004</v>
      </c>
      <c r="P19" s="14">
        <f t="shared" si="33"/>
        <v>13.774718045434005</v>
      </c>
      <c r="Q19" s="22">
        <f t="shared" si="2"/>
        <v>105.43757059579757</v>
      </c>
      <c r="R19" s="62">
        <f t="shared" si="0"/>
        <v>398.7709039291309</v>
      </c>
      <c r="S19" s="62">
        <f ca="1">AVERAGE(OFFSET($R$3,0,0,'Données projet'!$E$9+1,1))-AVERAGE(OFFSET($H$3,0,0,'Données projet'!$E$9+1,1))</f>
        <v>152.63300189110146</v>
      </c>
      <c r="T19" s="62">
        <f t="shared" si="34"/>
        <v>236.66430374499453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4.0291498672063062</v>
      </c>
      <c r="AB19" s="23">
        <f>EXP(-LN(2)/2)*AB18+(1-EXP(-LN(2)/2))/(LN(2)/2)*V19*Y19*VLOOKUP('Données projet'!$B$9,Paramètres!$A$1:$I$89,3,0)*0.475*44/12</f>
        <v>5.5776036640049238</v>
      </c>
      <c r="AC19" s="24">
        <f t="shared" si="3"/>
        <v>9.6067535312112291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4.9180000000000001</v>
      </c>
      <c r="AI19" s="14">
        <f>IF('Données projet'!$A$62&gt;35,AI18+AH19-AQ18,IF(A19&lt;'Données projet'!$A$62,$AF$205^A19,IF(A19='Données projet'!$A$62,'Données projet'!$B$62,AI18+AH19-AQ18)))</f>
        <v>21.74834737618685</v>
      </c>
      <c r="AJ19" s="14">
        <f>AI19*VLOOKUP('Données projet'!$B$10,Paramètres!$A$1:$I$89,3,0)*VLOOKUP('Données projet'!$B$10,Paramètres!$A$1:$I$89,5,0)</f>
        <v>23.749195334796038</v>
      </c>
      <c r="AK19" s="14">
        <f t="shared" si="35"/>
        <v>7.5696436055417964</v>
      </c>
      <c r="AL19" s="22">
        <f t="shared" si="4"/>
        <v>54.546977821088397</v>
      </c>
      <c r="AM19" s="62">
        <f t="shared" si="5"/>
        <v>347.88031115442169</v>
      </c>
      <c r="AN19" s="62">
        <f ca="1">AVERAGE(OFFSET($AM$3,0,0,'Données projet'!$E$10+1,1))-AVERAGE(OFFSET($H$3,0,0,'Données projet'!$E$10+1,1))</f>
        <v>886.54265074144564</v>
      </c>
      <c r="AO19" s="62">
        <f t="shared" si="36"/>
        <v>254.8922423500004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2.73</v>
      </c>
      <c r="BD19" s="13">
        <f>IF('Données projet'!$A$88&gt;35,BD18+BC19-BL18,IF(A19&lt;'Données projet'!$A$88,$BA$205^A19,IF(A19='Données projet'!$A$88,'Données projet'!$B$88,BD18+BC19-BL18)))</f>
        <v>32.18</v>
      </c>
      <c r="BE19" s="14">
        <f>BD19*VLOOKUP('Données projet'!$B$11,Paramètres!$A$1:$I$89,3,0)*VLOOKUP('Données projet'!$B$11,Paramètres!$A$1:$I$89,5,0)</f>
        <v>37.071359999999999</v>
      </c>
      <c r="BF19" s="14">
        <f t="shared" si="37"/>
        <v>11.219009095789687</v>
      </c>
      <c r="BG19" s="22">
        <f t="shared" si="7"/>
        <v>84.105726175167035</v>
      </c>
      <c r="BH19" s="62">
        <f t="shared" si="8"/>
        <v>377.43905950850035</v>
      </c>
      <c r="BI19" s="62">
        <f ca="1">AVERAGE(OFFSET($BH$3,0,0,'Données projet'!$E$11+1,1))-AVERAGE(OFFSET($H$3,0,0,'Données projet'!$E$11+1,1))</f>
        <v>165.98015798223548</v>
      </c>
      <c r="BJ19" s="62">
        <f t="shared" si="38"/>
        <v>143.97979034100706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19.856559645225289</v>
      </c>
      <c r="CA19" s="14">
        <f t="shared" si="39"/>
        <v>6.4621947686102121</v>
      </c>
      <c r="CB19" s="22">
        <f t="shared" si="10"/>
        <v>45.838497270763497</v>
      </c>
      <c r="CC19" s="62">
        <f t="shared" si="11"/>
        <v>339.17183060409684</v>
      </c>
      <c r="CD19" s="62">
        <f ca="1">AVERAGE(OFFSET($CC$3,0,0,'Données projet'!$E$12+1,1))-AVERAGE(OFFSET($H$3,0,0,'Données projet'!$E$12+1,1))</f>
        <v>335.16942824912076</v>
      </c>
      <c r="CE19" s="62">
        <f t="shared" si="40"/>
        <v>190.00559730122677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88.3</v>
      </c>
      <c r="L20" s="13">
        <f>VLOOKUP(A20,'Données projet'!$A$35:$I$55,9,0)</f>
        <v>10.099999999999994</v>
      </c>
      <c r="M20" s="13">
        <f t="array" ref="M20">INDEX(L:L,MIN(IF(ISNUMBER(L20:L216),ROW(L20:L216),"")))</f>
        <v>10.099999999999994</v>
      </c>
      <c r="N20" s="14">
        <f>IF('Données projet'!$A$36&gt;35,N19+M20-V19,IF(A20&lt;'Données projet'!$A$36,$K$205^A20,IF(A20='Données projet'!$A$36,'Données projet'!$B$36,N19+M20-V19)))</f>
        <v>88.3</v>
      </c>
      <c r="O20" s="14">
        <f>N20*VLOOKUP('Données projet'!$B$9,Paramètres!$A$1:$I$89,3,0)*VLOOKUP('Données projet'!$B$9,Paramètres!$A$1:$I$89,5,0)</f>
        <v>52.803400000000003</v>
      </c>
      <c r="P20" s="14">
        <f t="shared" si="33"/>
        <v>15.335435323891819</v>
      </c>
      <c r="Q20" s="22">
        <f t="shared" si="2"/>
        <v>118.67513818911159</v>
      </c>
      <c r="R20" s="62">
        <f t="shared" si="0"/>
        <v>412.00847152244489</v>
      </c>
      <c r="S20" s="62">
        <f ca="1">AVERAGE(OFFSET($R$3,0,0,'Données projet'!$E$9+1,1))-AVERAGE(OFFSET($H$3,0,0,'Données projet'!$E$9+1,1))</f>
        <v>152.63300189110146</v>
      </c>
      <c r="T20" s="62">
        <f t="shared" si="34"/>
        <v>236.66430374499453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3.9189725522037668</v>
      </c>
      <c r="AB20" s="23">
        <f>EXP(-LN(2)/2)*AB19+(1-EXP(-LN(2)/2))/(LN(2)/2)*V20*Y20*VLOOKUP('Données projet'!$B$9,Paramètres!$A$1:$I$89,3,0)*0.475*44/12</f>
        <v>3.9439613735888157</v>
      </c>
      <c r="AC20" s="24">
        <f t="shared" si="3"/>
        <v>7.8629339257925821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4.9180000000000001</v>
      </c>
      <c r="AI20" s="14">
        <f>IF('Données projet'!$A$62&gt;35,AI19+AH20-AQ19,IF(A20&lt;'Données projet'!$A$62,$AF$205^A20,IF(A20='Données projet'!$A$62,'Données projet'!$B$62,AI19+AH20-AQ19)))</f>
        <v>26.364248864147903</v>
      </c>
      <c r="AJ20" s="14">
        <f>AI20*VLOOKUP('Données projet'!$B$10,Paramètres!$A$1:$I$89,3,0)*VLOOKUP('Données projet'!$B$10,Paramètres!$A$1:$I$89,5,0)</f>
        <v>28.789759759649513</v>
      </c>
      <c r="AK20" s="14">
        <f t="shared" si="35"/>
        <v>8.9729407033060493</v>
      </c>
      <c r="AL20" s="22">
        <f t="shared" si="4"/>
        <v>65.7700366396476</v>
      </c>
      <c r="AM20" s="62">
        <f t="shared" si="5"/>
        <v>359.10336997298089</v>
      </c>
      <c r="AN20" s="62">
        <f ca="1">AVERAGE(OFFSET($AM$3,0,0,'Données projet'!$E$10+1,1))-AVERAGE(OFFSET($H$3,0,0,'Données projet'!$E$10+1,1))</f>
        <v>886.54265074144564</v>
      </c>
      <c r="AO20" s="62">
        <f t="shared" si="36"/>
        <v>254.8922423500004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2.73</v>
      </c>
      <c r="BD20" s="13">
        <f>IF('Données projet'!$A$88&gt;35,BD19+BC20-BL19,IF(A20&lt;'Données projet'!$A$88,$BA$205^A20,IF(A20='Données projet'!$A$88,'Données projet'!$B$88,BD19+BC20-BL19)))</f>
        <v>34.909999999999997</v>
      </c>
      <c r="BE20" s="14">
        <f>BD20*VLOOKUP('Données projet'!$B$11,Paramètres!$A$1:$I$89,3,0)*VLOOKUP('Données projet'!$B$11,Paramètres!$A$1:$I$89,5,0)</f>
        <v>40.216319999999996</v>
      </c>
      <c r="BF20" s="14">
        <f t="shared" si="37"/>
        <v>12.055964536602131</v>
      </c>
      <c r="BG20" s="22">
        <f t="shared" si="7"/>
        <v>91.040895567915371</v>
      </c>
      <c r="BH20" s="62">
        <f t="shared" si="8"/>
        <v>384.37422890124867</v>
      </c>
      <c r="BI20" s="62">
        <f ca="1">AVERAGE(OFFSET($BH$3,0,0,'Données projet'!$E$11+1,1))-AVERAGE(OFFSET($H$3,0,0,'Données projet'!$E$11+1,1))</f>
        <v>165.98015798223548</v>
      </c>
      <c r="BJ20" s="62">
        <f t="shared" si="38"/>
        <v>143.97979034100706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23.936820836525477</v>
      </c>
      <c r="CA20" s="14">
        <f t="shared" si="39"/>
        <v>7.6224607549873005</v>
      </c>
      <c r="CB20" s="22">
        <f t="shared" si="10"/>
        <v>54.965748771884755</v>
      </c>
      <c r="CC20" s="62">
        <f t="shared" si="11"/>
        <v>348.29908210521808</v>
      </c>
      <c r="CD20" s="62">
        <f ca="1">AVERAGE(OFFSET($CC$3,0,0,'Données projet'!$E$12+1,1))-AVERAGE(OFFSET($H$3,0,0,'Données projet'!$E$12+1,1))</f>
        <v>335.16942824912076</v>
      </c>
      <c r="CE20" s="62">
        <f t="shared" si="40"/>
        <v>190.00559730122677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100.6</v>
      </c>
      <c r="L21" s="13">
        <f>VLOOKUP(A21,'Données projet'!$A$35:$I$55,9,0)</f>
        <v>12.299999999999997</v>
      </c>
      <c r="M21" s="13">
        <f t="array" ref="M21">INDEX(L:L,MIN(IF(ISNUMBER(L21:L217),ROW(L21:L217),"")))</f>
        <v>12.299999999999997</v>
      </c>
      <c r="N21" s="14">
        <f>IF('Données projet'!$A$36&gt;35,N20+M21-V20,IF(A21&lt;'Données projet'!$A$36,$K$205^A21,IF(A21='Données projet'!$A$36,'Données projet'!$B$36,N20+M21-V20)))</f>
        <v>100.6</v>
      </c>
      <c r="O21" s="14">
        <f>N21*VLOOKUP('Données projet'!$B$9,Paramètres!$A$1:$I$89,3,0)*VLOOKUP('Données projet'!$B$9,Paramètres!$A$1:$I$89,5,0)</f>
        <v>60.158799999999999</v>
      </c>
      <c r="P21" s="14">
        <f t="shared" si="33"/>
        <v>17.208412456441273</v>
      </c>
      <c r="Q21" s="22">
        <f t="shared" si="2"/>
        <v>134.74789502830188</v>
      </c>
      <c r="R21" s="62">
        <f t="shared" si="0"/>
        <v>428.08122836163523</v>
      </c>
      <c r="S21" s="62">
        <f ca="1">AVERAGE(OFFSET($R$3,0,0,'Données projet'!$E$9+1,1))-AVERAGE(OFFSET($H$3,0,0,'Données projet'!$E$9+1,1))</f>
        <v>152.63300189110146</v>
      </c>
      <c r="T21" s="62">
        <f t="shared" si="34"/>
        <v>236.66430374499453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3.8118080416739453</v>
      </c>
      <c r="AB21" s="23">
        <f>EXP(-LN(2)/2)*AB20+(1-EXP(-LN(2)/2))/(LN(2)/2)*V21*Y21*VLOOKUP('Données projet'!$B$9,Paramètres!$A$1:$I$89,3,0)*0.475*44/12</f>
        <v>2.7888018320024623</v>
      </c>
      <c r="AC21" s="24">
        <f t="shared" si="3"/>
        <v>6.6006098736764081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4.9180000000000001</v>
      </c>
      <c r="AI21" s="14">
        <f>IF('Données projet'!$A$62&gt;35,AI20+AH21-AQ20,IF(A21&lt;'Données projet'!$A$62,$AF$205^A21,IF(A21='Données projet'!$A$62,'Données projet'!$B$62,AI20+AH21-AQ20)))</f>
        <v>31.95983612675731</v>
      </c>
      <c r="AJ21" s="14">
        <f>AI21*VLOOKUP('Données projet'!$B$10,Paramètres!$A$1:$I$89,3,0)*VLOOKUP('Données projet'!$B$10,Paramètres!$A$1:$I$89,5,0)</f>
        <v>34.900141050418981</v>
      </c>
      <c r="AK21" s="14">
        <f t="shared" si="35"/>
        <v>10.636387795866861</v>
      </c>
      <c r="AL21" s="22">
        <f t="shared" si="4"/>
        <v>79.309454407281166</v>
      </c>
      <c r="AM21" s="62">
        <f t="shared" si="5"/>
        <v>372.64278774061449</v>
      </c>
      <c r="AN21" s="62">
        <f ca="1">AVERAGE(OFFSET($AM$3,0,0,'Données projet'!$E$10+1,1))-AVERAGE(OFFSET($H$3,0,0,'Données projet'!$E$10+1,1))</f>
        <v>886.54265074144564</v>
      </c>
      <c r="AO21" s="62">
        <f t="shared" si="36"/>
        <v>254.8922423500004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2.73</v>
      </c>
      <c r="BD21" s="13">
        <f>IF('Données projet'!$A$88&gt;35,BD20+BC21-BL20,IF(A21&lt;'Données projet'!$A$88,$BA$205^A21,IF(A21='Données projet'!$A$88,'Données projet'!$B$88,BD20+BC21-BL20)))</f>
        <v>37.639999999999993</v>
      </c>
      <c r="BE21" s="14">
        <f>BD21*VLOOKUP('Données projet'!$B$11,Paramètres!$A$1:$I$89,3,0)*VLOOKUP('Données projet'!$B$11,Paramètres!$A$1:$I$89,5,0)</f>
        <v>43.361279999999987</v>
      </c>
      <c r="BF21" s="14">
        <f t="shared" si="37"/>
        <v>12.885327906868328</v>
      </c>
      <c r="BG21" s="22">
        <f t="shared" si="7"/>
        <v>97.962842104462311</v>
      </c>
      <c r="BH21" s="62">
        <f t="shared" si="8"/>
        <v>391.29617543779563</v>
      </c>
      <c r="BI21" s="62">
        <f ca="1">AVERAGE(OFFSET($BH$3,0,0,'Données projet'!$E$11+1,1))-AVERAGE(OFFSET($H$3,0,0,'Données projet'!$E$11+1,1))</f>
        <v>165.98015798223548</v>
      </c>
      <c r="BJ21" s="62">
        <f t="shared" si="38"/>
        <v>143.97979034100706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28.855521902944407</v>
      </c>
      <c r="CA21" s="14">
        <f t="shared" si="39"/>
        <v>8.9910487135962995</v>
      </c>
      <c r="CB21" s="22">
        <f t="shared" si="10"/>
        <v>65.916110490475049</v>
      </c>
      <c r="CC21" s="62">
        <f t="shared" si="11"/>
        <v>359.24944382380835</v>
      </c>
      <c r="CD21" s="62">
        <f ca="1">AVERAGE(OFFSET($CC$3,0,0,'Données projet'!$E$12+1,1))-AVERAGE(OFFSET($H$3,0,0,'Données projet'!$E$12+1,1))</f>
        <v>335.16942824912076</v>
      </c>
      <c r="CE21" s="62">
        <f t="shared" si="40"/>
        <v>190.00559730122677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113.7</v>
      </c>
      <c r="L22" s="13">
        <f>VLOOKUP(A22,'Données projet'!$A$35:$I$55,9,0)</f>
        <v>13.100000000000009</v>
      </c>
      <c r="M22" s="13">
        <f t="array" ref="M22">INDEX(L:L,MIN(IF(ISNUMBER(L22:L218),ROW(L22:L218),"")))</f>
        <v>13.100000000000009</v>
      </c>
      <c r="N22" s="14">
        <f>IF('Données projet'!$A$36&gt;35,N21+M22-V21,IF(A22&lt;'Données projet'!$A$36,$K$205^A22,IF(A22='Données projet'!$A$36,'Données projet'!$B$36,N21+M22-V21)))</f>
        <v>113.7</v>
      </c>
      <c r="O22" s="14">
        <f>N22*VLOOKUP('Données projet'!$B$9,Paramètres!$A$1:$I$89,3,0)*VLOOKUP('Données projet'!$B$9,Paramètres!$A$1:$I$89,5,0)</f>
        <v>67.99260000000001</v>
      </c>
      <c r="P22" s="14">
        <f t="shared" si="33"/>
        <v>19.174108370523125</v>
      </c>
      <c r="Q22" s="22">
        <f t="shared" si="2"/>
        <v>151.81535041199444</v>
      </c>
      <c r="R22" s="62">
        <f t="shared" si="0"/>
        <v>445.14868374532773</v>
      </c>
      <c r="S22" s="62">
        <f ca="1">AVERAGE(OFFSET($R$3,0,0,'Données projet'!$E$9+1,1))-AVERAGE(OFFSET($H$3,0,0,'Données projet'!$E$9+1,1))</f>
        <v>152.63300189110146</v>
      </c>
      <c r="T22" s="62">
        <f t="shared" si="34"/>
        <v>236.66430374499453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3.7075739503200982</v>
      </c>
      <c r="AB22" s="23">
        <f>EXP(-LN(2)/2)*AB21+(1-EXP(-LN(2)/2))/(LN(2)/2)*V22*Y22*VLOOKUP('Données projet'!$B$9,Paramètres!$A$1:$I$89,3,0)*0.475*44/12</f>
        <v>1.9719806867944081</v>
      </c>
      <c r="AC22" s="24">
        <f t="shared" si="3"/>
        <v>5.6795546371145065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4.9180000000000001</v>
      </c>
      <c r="AI22" s="14">
        <f>IF('Données projet'!$A$62&gt;35,AI21+AH22-AQ21,IF(A22&lt;'Données projet'!$A$62,$AF$205^A22,IF(A22='Données projet'!$A$62,'Données projet'!$B$62,AI21+AH22-AQ21)))</f>
        <v>38.743039125161687</v>
      </c>
      <c r="AJ22" s="14">
        <f>AI22*VLOOKUP('Données projet'!$B$10,Paramètres!$A$1:$I$89,3,0)*VLOOKUP('Données projet'!$B$10,Paramètres!$A$1:$I$89,5,0)</f>
        <v>42.307398724676567</v>
      </c>
      <c r="AK22" s="14">
        <f t="shared" si="35"/>
        <v>12.608212745948737</v>
      </c>
      <c r="AL22" s="22">
        <f t="shared" si="4"/>
        <v>95.644689978005729</v>
      </c>
      <c r="AM22" s="62">
        <f t="shared" si="5"/>
        <v>388.97802331133903</v>
      </c>
      <c r="AN22" s="62">
        <f ca="1">AVERAGE(OFFSET($AM$3,0,0,'Données projet'!$E$10+1,1))-AVERAGE(OFFSET($H$3,0,0,'Données projet'!$E$10+1,1))</f>
        <v>886.54265074144564</v>
      </c>
      <c r="AO22" s="62">
        <f t="shared" si="36"/>
        <v>254.8922423500004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2.73</v>
      </c>
      <c r="BD22" s="13">
        <f>IF('Données projet'!$A$88&gt;35,BD21+BC22-BL21,IF(A22&lt;'Données projet'!$A$88,$BA$205^A22,IF(A22='Données projet'!$A$88,'Données projet'!$B$88,BD21+BC22-BL21)))</f>
        <v>40.36999999999999</v>
      </c>
      <c r="BE22" s="14">
        <f>BD22*VLOOKUP('Données projet'!$B$11,Paramètres!$A$1:$I$89,3,0)*VLOOKUP('Données projet'!$B$11,Paramètres!$A$1:$I$89,5,0)</f>
        <v>46.506239999999984</v>
      </c>
      <c r="BF22" s="14">
        <f t="shared" si="37"/>
        <v>13.707712475786167</v>
      </c>
      <c r="BG22" s="22">
        <f t="shared" si="7"/>
        <v>104.87263389532752</v>
      </c>
      <c r="BH22" s="62">
        <f t="shared" si="8"/>
        <v>398.20596722866082</v>
      </c>
      <c r="BI22" s="62">
        <f ca="1">AVERAGE(OFFSET($BH$3,0,0,'Données projet'!$E$11+1,1))-AVERAGE(OFFSET($H$3,0,0,'Données projet'!$E$11+1,1))</f>
        <v>165.98015798223548</v>
      </c>
      <c r="BJ22" s="62">
        <f t="shared" si="38"/>
        <v>143.97979034100706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34.784951183691341</v>
      </c>
      <c r="CA22" s="14">
        <f t="shared" si="39"/>
        <v>10.605362174855349</v>
      </c>
      <c r="CB22" s="22">
        <f t="shared" si="10"/>
        <v>79.054795766135484</v>
      </c>
      <c r="CC22" s="62">
        <f t="shared" si="11"/>
        <v>372.38812909946881</v>
      </c>
      <c r="CD22" s="62">
        <f ca="1">AVERAGE(OFFSET($CC$3,0,0,'Données projet'!$E$12+1,1))-AVERAGE(OFFSET($H$3,0,0,'Données projet'!$E$12+1,1))</f>
        <v>335.16942824912076</v>
      </c>
      <c r="CE22" s="62">
        <f t="shared" si="40"/>
        <v>190.00559730122677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130.19999999999999</v>
      </c>
      <c r="L23" s="13">
        <f>VLOOKUP(A23,'Données projet'!$A$35:$I$55,9,0)</f>
        <v>16.499999999999986</v>
      </c>
      <c r="M23" s="13">
        <f t="array" ref="M23">INDEX(L:L,MIN(IF(ISNUMBER(L23:L219),ROW(L23:L219),"")))</f>
        <v>16.499999999999986</v>
      </c>
      <c r="N23" s="14">
        <f>IF('Données projet'!$A$36&gt;35,N22+M23-V22,IF(A23&lt;'Données projet'!$A$36,$K$205^A23,IF(A23='Données projet'!$A$36,'Données projet'!$B$36,N22+M23-V22)))</f>
        <v>130.19999999999999</v>
      </c>
      <c r="O23" s="14">
        <f>N23*VLOOKUP('Données projet'!$B$9,Paramètres!$A$1:$I$89,3,0)*VLOOKUP('Données projet'!$B$9,Paramètres!$A$1:$I$89,5,0)</f>
        <v>77.8596</v>
      </c>
      <c r="P23" s="14">
        <f t="shared" si="33"/>
        <v>21.613022058435771</v>
      </c>
      <c r="Q23" s="22">
        <f t="shared" si="2"/>
        <v>173.24815008510896</v>
      </c>
      <c r="R23" s="62">
        <f t="shared" si="0"/>
        <v>466.5814834184423</v>
      </c>
      <c r="S23" s="62">
        <f ca="1">AVERAGE(OFFSET($R$3,0,0,'Données projet'!$E$9+1,1))-AVERAGE(OFFSET($H$3,0,0,'Données projet'!$E$9+1,1))</f>
        <v>152.63300189110146</v>
      </c>
      <c r="T23" s="62">
        <f t="shared" si="34"/>
        <v>236.66430374499453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34.1</v>
      </c>
      <c r="W23" s="17">
        <f>IF(ISNA(VLOOKUP(A23,'Données projet'!$A$35:$I$55,5,0)),0%,VLOOKUP(A23,'Données projet'!$A$35:$I$55,5,0)*VLOOKUP('Données projet'!$B$9,Paramètres!$A$1:$I$89,7,0))</f>
        <v>0.1125</v>
      </c>
      <c r="X23" s="78">
        <f>IF(ISNA(VLOOKUP(A23,'Données projet'!$A$35:$I$55,6,0)),0%,VLOOKUP(A23,'Données projet'!$A$35:$I$55,6,0)*VLOOKUP('Données projet'!$B$9,Paramètres!$A$1:$I$89,7,0))</f>
        <v>0.17100000000000001</v>
      </c>
      <c r="Y23" s="17">
        <f>IF(ISNA(VLOOKUP(A23,'Données projet'!$A$35:$I$55,7,0)),0%,VLOOKUP(A23,'Données projet'!$A$35:$I$55,7,0))</f>
        <v>0.38</v>
      </c>
      <c r="Z23" s="23">
        <f>EXP(-LN(2)/35)*Z22+(1-EXP(-LN(2)/35))/(LN(2)/35)*V23*W23*VLOOKUP('Données projet'!$B$9,Paramètres!$A$1:$I$89,3,0)*0.475*44/12</f>
        <v>3.0432416695236024</v>
      </c>
      <c r="AA23" s="23">
        <f>EXP(-LN(2)/25)*AA22+(1-EXP(-LN(2)/25))/(LN(2)/25)*Calculateur!V23*Calculateur!X23*VLOOKUP('Données projet'!$B$9,Paramètres!$A$1:$I$89,3,0)*0.475*44/12</f>
        <v>8.2137042322829039</v>
      </c>
      <c r="AB23" s="23">
        <f>EXP(-LN(2)/2)*AB22+(1-EXP(-LN(2)/2))/(LN(2)/2)*V23*Y23*VLOOKUP('Données projet'!$B$9,Paramètres!$A$1:$I$89,3,0)*0.475*44/12</f>
        <v>10.167937650587303</v>
      </c>
      <c r="AC23" s="24">
        <f t="shared" si="3"/>
        <v>21.424883552393808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4.9180000000000001</v>
      </c>
      <c r="AI23" s="14">
        <f>IF('Données projet'!$A$62&gt;35,AI22+AH23-AQ22,IF(A23&lt;'Données projet'!$A$62,$AF$205^A23,IF(A23='Données projet'!$A$62,'Données projet'!$B$62,AI22+AH23-AQ22)))</f>
        <v>46.965919183707186</v>
      </c>
      <c r="AJ23" s="14">
        <f>AI23*VLOOKUP('Données projet'!$B$10,Paramètres!$A$1:$I$89,3,0)*VLOOKUP('Données projet'!$B$10,Paramètres!$A$1:$I$89,5,0)</f>
        <v>51.286783748608244</v>
      </c>
      <c r="AK23" s="14">
        <f t="shared" si="35"/>
        <v>14.945584130439132</v>
      </c>
      <c r="AL23" s="22">
        <f t="shared" si="4"/>
        <v>115.35470738934083</v>
      </c>
      <c r="AM23" s="62">
        <f t="shared" si="5"/>
        <v>408.68804072267415</v>
      </c>
      <c r="AN23" s="62">
        <f ca="1">AVERAGE(OFFSET($AM$3,0,0,'Données projet'!$E$10+1,1))-AVERAGE(OFFSET($H$3,0,0,'Données projet'!$E$10+1,1))</f>
        <v>886.54265074144564</v>
      </c>
      <c r="AO23" s="62">
        <f t="shared" si="36"/>
        <v>254.8922423500004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43.1</v>
      </c>
      <c r="BB23" s="13">
        <f>VLOOKUP(A23,'Données projet'!$A$87:$I$107,9,0)</f>
        <v>2.73</v>
      </c>
      <c r="BC23" s="13">
        <f t="array" ref="BC23">INDEX(BB:BB,MIN(IF(ISNUMBER(BB23:BB219),ROW(BB23:BB219),"")))</f>
        <v>2.73</v>
      </c>
      <c r="BD23" s="13">
        <f>IF('Données projet'!$A$88&gt;35,BD22+BC23-BL22,IF(A23&lt;'Données projet'!$A$88,$BA$205^A23,IF(A23='Données projet'!$A$88,'Données projet'!$B$88,BD22+BC23-BL22)))</f>
        <v>43.099999999999987</v>
      </c>
      <c r="BE23" s="14">
        <f>BD23*VLOOKUP('Données projet'!$B$11,Paramètres!$A$1:$I$89,3,0)*VLOOKUP('Données projet'!$B$11,Paramètres!$A$1:$I$89,5,0)</f>
        <v>49.651199999999982</v>
      </c>
      <c r="BF23" s="14">
        <f t="shared" si="37"/>
        <v>14.523643874710904</v>
      </c>
      <c r="BG23" s="22">
        <f t="shared" si="7"/>
        <v>111.77118641512146</v>
      </c>
      <c r="BH23" s="62">
        <f t="shared" si="8"/>
        <v>405.10451974845478</v>
      </c>
      <c r="BI23" s="62">
        <f ca="1">AVERAGE(OFFSET($BH$3,0,0,'Données projet'!$E$11+1,1))-AVERAGE(OFFSET($H$3,0,0,'Données projet'!$E$11+1,1))</f>
        <v>165.98015798223548</v>
      </c>
      <c r="BJ23" s="62">
        <f t="shared" si="38"/>
        <v>143.97979034100706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41.9328</v>
      </c>
      <c r="CA23" s="14">
        <f t="shared" si="39"/>
        <v>12.509520351031938</v>
      </c>
      <c r="CB23" s="22">
        <f t="shared" si="10"/>
        <v>94.820374611380615</v>
      </c>
      <c r="CC23" s="62">
        <f t="shared" si="11"/>
        <v>388.15370794471391</v>
      </c>
      <c r="CD23" s="62">
        <f ca="1">AVERAGE(OFFSET($CC$3,0,0,'Données projet'!$E$12+1,1))-AVERAGE(OFFSET($H$3,0,0,'Données projet'!$E$12+1,1))</f>
        <v>335.16942824912076</v>
      </c>
      <c r="CE23" s="62">
        <f t="shared" si="40"/>
        <v>190.00559730122677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110.8</v>
      </c>
      <c r="L24" s="13">
        <f>VLOOKUP(A24,'Données projet'!$A$35:$I$55,9,0)</f>
        <v>14.700000000000003</v>
      </c>
      <c r="M24" s="13">
        <f t="array" ref="M24">INDEX(L:L,MIN(IF(ISNUMBER(L24:L220),ROW(L24:L220),"")))</f>
        <v>14.700000000000003</v>
      </c>
      <c r="N24" s="14">
        <f>IF('Données projet'!$A$36&gt;35,N23+M24-V23,IF(A24&lt;'Données projet'!$A$36,$K$205^A24,IF(A24='Données projet'!$A$36,'Données projet'!$B$36,N23+M24-V23)))</f>
        <v>110.79999999999998</v>
      </c>
      <c r="O24" s="14">
        <f>N24*VLOOKUP('Données projet'!$B$9,Paramètres!$A$1:$I$89,3,0)*VLOOKUP('Données projet'!$B$9,Paramètres!$A$1:$I$89,5,0)</f>
        <v>66.258399999999995</v>
      </c>
      <c r="P24" s="14">
        <f t="shared" si="33"/>
        <v>18.741336709185905</v>
      </c>
      <c r="Q24" s="22">
        <f t="shared" si="2"/>
        <v>148.0412081018321</v>
      </c>
      <c r="R24" s="62">
        <f t="shared" si="0"/>
        <v>441.37454143516538</v>
      </c>
      <c r="S24" s="62">
        <f ca="1">AVERAGE(OFFSET($R$3,0,0,'Données projet'!$E$9+1,1))-AVERAGE(OFFSET($H$3,0,0,'Données projet'!$E$9+1,1))</f>
        <v>152.63300189110146</v>
      </c>
      <c r="T24" s="62">
        <f t="shared" si="34"/>
        <v>236.66430374499453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2.983565556578379</v>
      </c>
      <c r="AA24" s="23">
        <f>EXP(-LN(2)/25)*AA23+(1-EXP(-LN(2)/25))/(LN(2)/25)*Calculateur!V24*Calculateur!X24*VLOOKUP('Données projet'!$B$9,Paramètres!$A$1:$I$89,3,0)*0.475*44/12</f>
        <v>7.9891000581111946</v>
      </c>
      <c r="AB24" s="23">
        <f>EXP(-LN(2)/2)*AB23+(1-EXP(-LN(2)/2))/(LN(2)/2)*V24*Y24*VLOOKUP('Données projet'!$B$9,Paramètres!$A$1:$I$89,3,0)*0.475*44/12</f>
        <v>7.1898176634122946</v>
      </c>
      <c r="AC24" s="24">
        <f t="shared" si="3"/>
        <v>18.162483278101867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4.9180000000000001</v>
      </c>
      <c r="AI24" s="14">
        <f>IF('Données projet'!$A$62&gt;35,AI23+AH24-AQ23,IF(A24&lt;'Données projet'!$A$62,$AF$205^A24,IF(A24='Données projet'!$A$62,'Données projet'!$B$62,AI23+AH24-AQ23)))</f>
        <v>56.934035495887528</v>
      </c>
      <c r="AJ24" s="14">
        <f>AI24*VLOOKUP('Données projet'!$B$10,Paramètres!$A$1:$I$89,3,0)*VLOOKUP('Données projet'!$B$10,Paramètres!$A$1:$I$89,5,0)</f>
        <v>62.171966761509175</v>
      </c>
      <c r="AK24" s="14">
        <f t="shared" si="35"/>
        <v>17.716268713169292</v>
      </c>
      <c r="AL24" s="22">
        <f t="shared" si="4"/>
        <v>139.13867678506497</v>
      </c>
      <c r="AM24" s="62">
        <f t="shared" si="5"/>
        <v>432.47201011839832</v>
      </c>
      <c r="AN24" s="62">
        <f ca="1">AVERAGE(OFFSET($AM$3,0,0,'Données projet'!$E$10+1,1))-AVERAGE(OFFSET($H$3,0,0,'Données projet'!$E$10+1,1))</f>
        <v>886.54265074144564</v>
      </c>
      <c r="AO24" s="62">
        <f t="shared" si="36"/>
        <v>254.8922423500004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2.94</v>
      </c>
      <c r="BD24" s="13">
        <f>IF('Données projet'!$A$88&gt;35,BD23+BC24-BL23,IF(A24&lt;'Données projet'!$A$88,$BA$205^A24,IF(A24='Données projet'!$A$88,'Données projet'!$B$88,BD23+BC24-BL23)))</f>
        <v>46.039999999999985</v>
      </c>
      <c r="BE24" s="14">
        <f>BD24*VLOOKUP('Données projet'!$B$11,Paramètres!$A$1:$I$89,3,0)*VLOOKUP('Données projet'!$B$11,Paramètres!$A$1:$I$89,5,0)</f>
        <v>53.038079999999979</v>
      </c>
      <c r="BF24" s="14">
        <f t="shared" si="37"/>
        <v>15.395643274142426</v>
      </c>
      <c r="BG24" s="22">
        <f t="shared" si="7"/>
        <v>119.18873470246469</v>
      </c>
      <c r="BH24" s="62">
        <f t="shared" si="8"/>
        <v>412.52206803579799</v>
      </c>
      <c r="BI24" s="62">
        <f ca="1">AVERAGE(OFFSET($BH$3,0,0,'Données projet'!$E$11+1,1))-AVERAGE(OFFSET($H$3,0,0,'Données projet'!$E$11+1,1))</f>
        <v>165.98015798223548</v>
      </c>
      <c r="BJ24" s="62">
        <f t="shared" si="38"/>
        <v>143.97979034100706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47.523840000000007</v>
      </c>
      <c r="CA24" s="14">
        <f t="shared" si="39"/>
        <v>13.972402520519896</v>
      </c>
      <c r="CB24" s="22">
        <f t="shared" si="10"/>
        <v>107.10595572323882</v>
      </c>
      <c r="CC24" s="62">
        <f t="shared" si="11"/>
        <v>400.43928905657214</v>
      </c>
      <c r="CD24" s="62">
        <f ca="1">AVERAGE(OFFSET($CC$3,0,0,'Données projet'!$E$12+1,1))-AVERAGE(OFFSET($H$3,0,0,'Données projet'!$E$12+1,1))</f>
        <v>335.16942824912076</v>
      </c>
      <c r="CE24" s="62">
        <f t="shared" si="40"/>
        <v>190.00559730122677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126.9</v>
      </c>
      <c r="L25" s="13">
        <f>VLOOKUP(A25,'Données projet'!$A$35:$I$55,9,0)</f>
        <v>16.100000000000009</v>
      </c>
      <c r="M25" s="13">
        <f t="array" ref="M25">INDEX(L:L,MIN(IF(ISNUMBER(L25:L221),ROW(L25:L221),"")))</f>
        <v>16.100000000000009</v>
      </c>
      <c r="N25" s="14">
        <f>IF('Données projet'!$A$36&gt;35,N24+M25-V24,IF(A25&lt;'Données projet'!$A$36,$K$205^A25,IF(A25='Données projet'!$A$36,'Données projet'!$B$36,N24+M25-V24)))</f>
        <v>126.89999999999999</v>
      </c>
      <c r="O25" s="14">
        <f>N25*VLOOKUP('Données projet'!$B$9,Paramètres!$A$1:$I$89,3,0)*VLOOKUP('Données projet'!$B$9,Paramètres!$A$1:$I$89,5,0)</f>
        <v>75.886200000000002</v>
      </c>
      <c r="P25" s="14">
        <f t="shared" si="33"/>
        <v>21.128269134197218</v>
      </c>
      <c r="Q25" s="22">
        <f t="shared" si="2"/>
        <v>168.96686707539345</v>
      </c>
      <c r="R25" s="62">
        <f t="shared" si="0"/>
        <v>462.30020040872677</v>
      </c>
      <c r="S25" s="62">
        <f ca="1">AVERAGE(OFFSET($R$3,0,0,'Données projet'!$E$9+1,1))-AVERAGE(OFFSET($H$3,0,0,'Données projet'!$E$9+1,1))</f>
        <v>152.63300189110146</v>
      </c>
      <c r="T25" s="62">
        <f t="shared" si="34"/>
        <v>236.66430374499453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2.9250596558091768</v>
      </c>
      <c r="AA25" s="23">
        <f>EXP(-LN(2)/25)*AA24+(1-EXP(-LN(2)/25))/(LN(2)/25)*Calculateur!V25*Calculateur!X25*VLOOKUP('Données projet'!$B$9,Paramètres!$A$1:$I$89,3,0)*0.475*44/12</f>
        <v>7.7706376968936315</v>
      </c>
      <c r="AB25" s="23">
        <f>EXP(-LN(2)/2)*AB24+(1-EXP(-LN(2)/2))/(LN(2)/2)*V25*Y25*VLOOKUP('Données projet'!$B$9,Paramètres!$A$1:$I$89,3,0)*0.475*44/12</f>
        <v>5.0839688252936517</v>
      </c>
      <c r="AC25" s="24">
        <f t="shared" si="3"/>
        <v>15.779666177996461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4.9180000000000001</v>
      </c>
      <c r="AI25" s="14">
        <f>IF('Données projet'!$A$62&gt;35,AI24+AH25-AQ24,IF(A25&lt;'Données projet'!$A$62,$AF$205^A25,IF(A25='Données projet'!$A$62,'Données projet'!$B$62,AI24+AH25-AQ24)))</f>
        <v>69.017799591399779</v>
      </c>
      <c r="AJ25" s="14">
        <f>AI25*VLOOKUP('Données projet'!$B$10,Paramètres!$A$1:$I$89,3,0)*VLOOKUP('Données projet'!$B$10,Paramètres!$A$1:$I$89,5,0)</f>
        <v>75.367437153808552</v>
      </c>
      <c r="AK25" s="14">
        <f t="shared" si="35"/>
        <v>21.000596188005872</v>
      </c>
      <c r="AL25" s="22">
        <f t="shared" si="4"/>
        <v>167.84099140366013</v>
      </c>
      <c r="AM25" s="62">
        <f t="shared" si="5"/>
        <v>461.17432473699341</v>
      </c>
      <c r="AN25" s="62">
        <f ca="1">AVERAGE(OFFSET($AM$3,0,0,'Données projet'!$E$10+1,1))-AVERAGE(OFFSET($H$3,0,0,'Données projet'!$E$10+1,1))</f>
        <v>886.54265074144564</v>
      </c>
      <c r="AO25" s="62">
        <f t="shared" si="36"/>
        <v>254.8922423500004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2.94</v>
      </c>
      <c r="BD25" s="13">
        <f>IF('Données projet'!$A$88&gt;35,BD24+BC25-BL24,IF(A25&lt;'Données projet'!$A$88,$BA$205^A25,IF(A25='Données projet'!$A$88,'Données projet'!$B$88,BD24+BC25-BL24)))</f>
        <v>48.979999999999983</v>
      </c>
      <c r="BE25" s="14">
        <f>BD25*VLOOKUP('Données projet'!$B$11,Paramètres!$A$1:$I$89,3,0)*VLOOKUP('Données projet'!$B$11,Paramètres!$A$1:$I$89,5,0)</f>
        <v>56.424959999999977</v>
      </c>
      <c r="BF25" s="14">
        <f t="shared" si="37"/>
        <v>16.261180483598096</v>
      </c>
      <c r="BG25" s="22">
        <f t="shared" si="7"/>
        <v>126.59502800893331</v>
      </c>
      <c r="BH25" s="62">
        <f t="shared" si="8"/>
        <v>419.92836134226661</v>
      </c>
      <c r="BI25" s="62">
        <f ca="1">AVERAGE(OFFSET($BH$3,0,0,'Données projet'!$E$11+1,1))-AVERAGE(OFFSET($H$3,0,0,'Données projet'!$E$11+1,1))</f>
        <v>165.98015798223548</v>
      </c>
      <c r="BJ25" s="62">
        <f t="shared" si="38"/>
        <v>143.97979034100706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53.114880000000007</v>
      </c>
      <c r="CA25" s="14">
        <f t="shared" si="39"/>
        <v>15.415339834492777</v>
      </c>
      <c r="CB25" s="22">
        <f t="shared" si="10"/>
        <v>119.35679954507492</v>
      </c>
      <c r="CC25" s="62">
        <f t="shared" si="11"/>
        <v>412.69013287840824</v>
      </c>
      <c r="CD25" s="62">
        <f ca="1">AVERAGE(OFFSET($CC$3,0,0,'Données projet'!$E$12+1,1))-AVERAGE(OFFSET($H$3,0,0,'Données projet'!$E$12+1,1))</f>
        <v>335.16942824912076</v>
      </c>
      <c r="CE25" s="62">
        <f t="shared" si="40"/>
        <v>190.00559730122677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18.3</v>
      </c>
      <c r="N26" s="14">
        <f>IF('Données projet'!$A$36&gt;35,N25+M26-V25,IF(A26&lt;'Données projet'!$A$36,$K$205^A26,IF(A26='Données projet'!$A$36,'Données projet'!$B$36,N25+M26-V25)))</f>
        <v>145.19999999999999</v>
      </c>
      <c r="O26" s="14">
        <f>N26*VLOOKUP('Données projet'!$B$9,Paramètres!$A$1:$I$89,3,0)*VLOOKUP('Données projet'!$B$9,Paramètres!$A$1:$I$89,5,0)</f>
        <v>86.829599999999999</v>
      </c>
      <c r="P26" s="14">
        <f t="shared" si="33"/>
        <v>23.799012289012015</v>
      </c>
      <c r="Q26" s="22">
        <f t="shared" si="2"/>
        <v>192.67816640336261</v>
      </c>
      <c r="R26" s="62">
        <f t="shared" si="0"/>
        <v>486.0114997366959</v>
      </c>
      <c r="S26" s="62">
        <f ca="1">AVERAGE(OFFSET($R$3,0,0,'Données projet'!$E$9+1,1))-AVERAGE(OFFSET($H$3,0,0,'Données projet'!$E$9+1,1))</f>
        <v>152.63300189110146</v>
      </c>
      <c r="T26" s="62">
        <f t="shared" si="34"/>
        <v>236.66430374499453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2.8677010200689828</v>
      </c>
      <c r="AA26" s="23">
        <f>EXP(-LN(2)/25)*AA25+(1-EXP(-LN(2)/25))/(LN(2)/25)*Calculateur!V26*Calculateur!X26*VLOOKUP('Données projet'!$B$9,Paramètres!$A$1:$I$89,3,0)*0.475*44/12</f>
        <v>7.5581492004319983</v>
      </c>
      <c r="AB26" s="23">
        <f>EXP(-LN(2)/2)*AB25+(1-EXP(-LN(2)/2))/(LN(2)/2)*V26*Y26*VLOOKUP('Données projet'!$B$9,Paramètres!$A$1:$I$89,3,0)*0.475*44/12</f>
        <v>3.5949088317061473</v>
      </c>
      <c r="AC26" s="24">
        <f t="shared" si="3"/>
        <v>14.020759052207129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4.9180000000000001</v>
      </c>
      <c r="AI26" s="14">
        <f>IF('Données projet'!$A$62&gt;35,AI25+AH26-AQ25,IF(A26&lt;'Données projet'!$A$62,$AF$205^A26,IF(A26='Données projet'!$A$62,'Données projet'!$B$62,AI25+AH26-AQ25)))</f>
        <v>83.666239692120527</v>
      </c>
      <c r="AJ26" s="14">
        <f>AI26*VLOOKUP('Données projet'!$B$10,Paramètres!$A$1:$I$89,3,0)*VLOOKUP('Données projet'!$B$10,Paramètres!$A$1:$I$89,5,0)</f>
        <v>91.363533743795614</v>
      </c>
      <c r="AK26" s="14">
        <f t="shared" si="35"/>
        <v>24.893788155507806</v>
      </c>
      <c r="AL26" s="22">
        <f t="shared" si="4"/>
        <v>202.48150230795343</v>
      </c>
      <c r="AM26" s="62">
        <f t="shared" si="5"/>
        <v>495.81483564128678</v>
      </c>
      <c r="AN26" s="62">
        <f ca="1">AVERAGE(OFFSET($AM$3,0,0,'Données projet'!$E$10+1,1))-AVERAGE(OFFSET($H$3,0,0,'Données projet'!$E$10+1,1))</f>
        <v>886.54265074144564</v>
      </c>
      <c r="AO26" s="62">
        <f t="shared" si="36"/>
        <v>254.8922423500004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2.94</v>
      </c>
      <c r="BD26" s="13">
        <f>IF('Données projet'!$A$88&gt;35,BD25+BC26-BL25,IF(A26&lt;'Données projet'!$A$88,$BA$205^A26,IF(A26='Données projet'!$A$88,'Données projet'!$B$88,BD25+BC26-BL25)))</f>
        <v>51.91999999999998</v>
      </c>
      <c r="BE26" s="14">
        <f>BD26*VLOOKUP('Données projet'!$B$11,Paramètres!$A$1:$I$89,3,0)*VLOOKUP('Données projet'!$B$11,Paramètres!$A$1:$I$89,5,0)</f>
        <v>59.811839999999975</v>
      </c>
      <c r="BF26" s="14">
        <f t="shared" si="37"/>
        <v>17.120687568079099</v>
      </c>
      <c r="BG26" s="22">
        <f t="shared" si="7"/>
        <v>133.99081884773773</v>
      </c>
      <c r="BH26" s="62">
        <f t="shared" si="8"/>
        <v>427.32415218107104</v>
      </c>
      <c r="BI26" s="62">
        <f ca="1">AVERAGE(OFFSET($BH$3,0,0,'Données projet'!$E$11+1,1))-AVERAGE(OFFSET($H$3,0,0,'Données projet'!$E$11+1,1))</f>
        <v>165.98015798223548</v>
      </c>
      <c r="BJ26" s="62">
        <f t="shared" si="38"/>
        <v>143.97979034100706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58.705920000000013</v>
      </c>
      <c r="CA26" s="14">
        <f t="shared" si="39"/>
        <v>16.840670952033793</v>
      </c>
      <c r="CB26" s="22">
        <f t="shared" si="10"/>
        <v>131.57697924145887</v>
      </c>
      <c r="CC26" s="62">
        <f t="shared" si="11"/>
        <v>424.91031257479221</v>
      </c>
      <c r="CD26" s="62">
        <f ca="1">AVERAGE(OFFSET($CC$3,0,0,'Données projet'!$E$12+1,1))-AVERAGE(OFFSET($H$3,0,0,'Données projet'!$E$12+1,1))</f>
        <v>335.16942824912076</v>
      </c>
      <c r="CE26" s="62">
        <f t="shared" si="40"/>
        <v>190.00559730122677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18.3</v>
      </c>
      <c r="N27" s="14">
        <f>IF('Données projet'!$A$36&gt;35,N26+M27-V26,IF(A27&lt;'Données projet'!$A$36,$K$205^A27,IF(A27='Données projet'!$A$36,'Données projet'!$B$36,N26+M27-V26)))</f>
        <v>163.5</v>
      </c>
      <c r="O27" s="14">
        <f>N27*VLOOKUP('Données projet'!$B$9,Paramètres!$A$1:$I$89,3,0)*VLOOKUP('Données projet'!$B$9,Paramètres!$A$1:$I$89,5,0)</f>
        <v>97.77300000000001</v>
      </c>
      <c r="P27" s="14">
        <f t="shared" si="33"/>
        <v>26.430752085019659</v>
      </c>
      <c r="Q27" s="22">
        <f t="shared" si="2"/>
        <v>216.32153488140924</v>
      </c>
      <c r="R27" s="62">
        <f t="shared" si="0"/>
        <v>509.65486821474258</v>
      </c>
      <c r="S27" s="62">
        <f ca="1">AVERAGE(OFFSET($R$3,0,0,'Données projet'!$E$9+1,1))-AVERAGE(OFFSET($H$3,0,0,'Données projet'!$E$9+1,1))</f>
        <v>152.63300189110146</v>
      </c>
      <c r="T27" s="62">
        <f t="shared" si="34"/>
        <v>236.66430374499453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2.8114671521903407</v>
      </c>
      <c r="AA27" s="23">
        <f>EXP(-LN(2)/25)*AA26+(1-EXP(-LN(2)/25))/(LN(2)/25)*Calculateur!V27*Calculateur!X27*VLOOKUP('Données projet'!$B$9,Paramètres!$A$1:$I$89,3,0)*0.475*44/12</f>
        <v>7.3514712130803934</v>
      </c>
      <c r="AB27" s="23">
        <f>EXP(-LN(2)/2)*AB26+(1-EXP(-LN(2)/2))/(LN(2)/2)*V27*Y27*VLOOKUP('Données projet'!$B$9,Paramètres!$A$1:$I$89,3,0)*0.475*44/12</f>
        <v>2.5419844126468258</v>
      </c>
      <c r="AC27" s="24">
        <f t="shared" si="3"/>
        <v>12.70492277791756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4.9180000000000001</v>
      </c>
      <c r="AI27" s="14">
        <f>IF('Données projet'!$A$62&gt;35,AI26+AH27-AQ26,IF(A27&lt;'Données projet'!$A$62,$AF$205^A27,IF(A27='Données projet'!$A$62,'Données projet'!$B$62,AI26+AH27-AQ26)))</f>
        <v>101.42368643539933</v>
      </c>
      <c r="AJ27" s="14">
        <f>AI27*VLOOKUP('Données projet'!$B$10,Paramètres!$A$1:$I$89,3,0)*VLOOKUP('Données projet'!$B$10,Paramètres!$A$1:$I$89,5,0)</f>
        <v>110.75466558745607</v>
      </c>
      <c r="AK27" s="14">
        <f t="shared" si="35"/>
        <v>29.508718856526166</v>
      </c>
      <c r="AL27" s="22">
        <f t="shared" si="4"/>
        <v>244.29206123993572</v>
      </c>
      <c r="AM27" s="62">
        <f t="shared" si="5"/>
        <v>537.62539457326898</v>
      </c>
      <c r="AN27" s="62">
        <f ca="1">AVERAGE(OFFSET($AM$3,0,0,'Données projet'!$E$10+1,1))-AVERAGE(OFFSET($H$3,0,0,'Données projet'!$E$10+1,1))</f>
        <v>886.54265074144564</v>
      </c>
      <c r="AO27" s="62">
        <f t="shared" si="36"/>
        <v>254.8922423500004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2.94</v>
      </c>
      <c r="BD27" s="13">
        <f>IF('Données projet'!$A$88&gt;35,BD26+BC27-BL26,IF(A27&lt;'Données projet'!$A$88,$BA$205^A27,IF(A27='Données projet'!$A$88,'Données projet'!$B$88,BD26+BC27-BL26)))</f>
        <v>54.859999999999978</v>
      </c>
      <c r="BE27" s="14">
        <f>BD27*VLOOKUP('Données projet'!$B$11,Paramètres!$A$1:$I$89,3,0)*VLOOKUP('Données projet'!$B$11,Paramètres!$A$1:$I$89,5,0)</f>
        <v>63.198719999999966</v>
      </c>
      <c r="BF27" s="14">
        <f t="shared" si="37"/>
        <v>17.974544896989599</v>
      </c>
      <c r="BG27" s="22">
        <f t="shared" si="7"/>
        <v>141.37676969559016</v>
      </c>
      <c r="BH27" s="62">
        <f t="shared" si="8"/>
        <v>434.71010302892347</v>
      </c>
      <c r="BI27" s="62">
        <f ca="1">AVERAGE(OFFSET($BH$3,0,0,'Données projet'!$E$11+1,1))-AVERAGE(OFFSET($H$3,0,0,'Données projet'!$E$11+1,1))</f>
        <v>165.98015798223548</v>
      </c>
      <c r="BJ27" s="62">
        <f t="shared" si="38"/>
        <v>143.97979034100706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64.296959999999999</v>
      </c>
      <c r="CA27" s="14">
        <f t="shared" si="39"/>
        <v>18.250263421888452</v>
      </c>
      <c r="CB27" s="22">
        <f t="shared" si="10"/>
        <v>143.76974745978904</v>
      </c>
      <c r="CC27" s="62">
        <f t="shared" si="11"/>
        <v>437.10308079312233</v>
      </c>
      <c r="CD27" s="62">
        <f ca="1">AVERAGE(OFFSET($CC$3,0,0,'Données projet'!$E$12+1,1))-AVERAGE(OFFSET($H$3,0,0,'Données projet'!$E$12+1,1))</f>
        <v>335.16942824912076</v>
      </c>
      <c r="CE27" s="62">
        <f t="shared" si="40"/>
        <v>190.00559730122677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18.3</v>
      </c>
      <c r="N28" s="14">
        <f>IF('Données projet'!$A$36&gt;35,N27+M28-V27,IF(A28&lt;'Données projet'!$A$36,$K$205^A28,IF(A28='Données projet'!$A$36,'Données projet'!$B$36,N27+M28-V27)))</f>
        <v>181.8</v>
      </c>
      <c r="O28" s="14">
        <f>N28*VLOOKUP('Données projet'!$B$9,Paramètres!$A$1:$I$89,3,0)*VLOOKUP('Données projet'!$B$9,Paramètres!$A$1:$I$89,5,0)</f>
        <v>108.71640000000002</v>
      </c>
      <c r="P28" s="14">
        <f t="shared" si="33"/>
        <v>29.028352113364011</v>
      </c>
      <c r="Q28" s="22">
        <f t="shared" si="2"/>
        <v>239.90544326410898</v>
      </c>
      <c r="R28" s="62">
        <f t="shared" si="0"/>
        <v>533.23877659744232</v>
      </c>
      <c r="S28" s="62">
        <f ca="1">AVERAGE(OFFSET($R$3,0,0,'Données projet'!$E$9+1,1))-AVERAGE(OFFSET($H$3,0,0,'Données projet'!$E$9+1,1))</f>
        <v>152.63300189110146</v>
      </c>
      <c r="T28" s="62">
        <f t="shared" si="34"/>
        <v>236.66430374499453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2.7563359961615261</v>
      </c>
      <c r="AA28" s="23">
        <f>EXP(-LN(2)/25)*AA27+(1-EXP(-LN(2)/25))/(LN(2)/25)*Calculateur!V28*Calculateur!X28*VLOOKUP('Données projet'!$B$9,Paramètres!$A$1:$I$89,3,0)*0.475*44/12</f>
        <v>7.1504448461616406</v>
      </c>
      <c r="AB28" s="23">
        <f>EXP(-LN(2)/2)*AB27+(1-EXP(-LN(2)/2))/(LN(2)/2)*V28*Y28*VLOOKUP('Données projet'!$B$9,Paramètres!$A$1:$I$89,3,0)*0.475*44/12</f>
        <v>1.7974544158530736</v>
      </c>
      <c r="AC28" s="24">
        <f t="shared" si="3"/>
        <v>11.70423525817624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122.95</v>
      </c>
      <c r="AG28" s="13">
        <f>VLOOKUP(A28,'Données projet'!$A$61:$I$81,9,0)</f>
        <v>4.9180000000000001</v>
      </c>
      <c r="AH28" s="13">
        <f t="array" ref="AH28">INDEX(AG:AG,MIN(IF(ISNUMBER(AG28:AG224),ROW(AG28:AG224),"")))</f>
        <v>4.9180000000000001</v>
      </c>
      <c r="AI28" s="14">
        <f>IF('Données projet'!$A$62&gt;35,AI27+AH28-AQ27,IF(A28&lt;'Données projet'!$A$62,$AF$205^A28,IF(A28='Données projet'!$A$62,'Données projet'!$B$62,AI27+AH28-AQ27)))</f>
        <v>122.95</v>
      </c>
      <c r="AJ28" s="14">
        <f>AI28*VLOOKUP('Données projet'!$B$10,Paramètres!$A$1:$I$89,3,0)*VLOOKUP('Données projet'!$B$10,Paramètres!$A$1:$I$89,5,0)</f>
        <v>134.26140000000001</v>
      </c>
      <c r="AK28" s="14">
        <f t="shared" si="35"/>
        <v>34.979187703935089</v>
      </c>
      <c r="AL28" s="22">
        <f t="shared" si="4"/>
        <v>294.76069025102026</v>
      </c>
      <c r="AM28" s="62">
        <f t="shared" si="5"/>
        <v>588.09402358435364</v>
      </c>
      <c r="AN28" s="62">
        <f ca="1">AVERAGE(OFFSET($AM$3,0,0,'Données projet'!$E$10+1,1))-AVERAGE(OFFSET($H$3,0,0,'Données projet'!$E$10+1,1))</f>
        <v>886.54265074144564</v>
      </c>
      <c r="AO28" s="62">
        <f t="shared" si="36"/>
        <v>254.8922423500004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13.661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2.94</v>
      </c>
      <c r="BD28" s="13">
        <f>IF('Données projet'!$A$88&gt;35,BD27+BC28-BL27,IF(A28&lt;'Données projet'!$A$88,$BA$205^A28,IF(A28='Données projet'!$A$88,'Données projet'!$B$88,BD27+BC28-BL27)))</f>
        <v>57.799999999999976</v>
      </c>
      <c r="BE28" s="14">
        <f>BD28*VLOOKUP('Données projet'!$B$11,Paramètres!$A$1:$I$89,3,0)*VLOOKUP('Données projet'!$B$11,Paramètres!$A$1:$I$89,5,0)</f>
        <v>66.585599999999971</v>
      </c>
      <c r="BF28" s="14">
        <f t="shared" si="37"/>
        <v>18.823089768463344</v>
      </c>
      <c r="BG28" s="22">
        <f t="shared" si="7"/>
        <v>148.75346801340694</v>
      </c>
      <c r="BH28" s="62">
        <f t="shared" si="8"/>
        <v>442.08680134674023</v>
      </c>
      <c r="BI28" s="62">
        <f ca="1">AVERAGE(OFFSET($BH$3,0,0,'Données projet'!$E$11+1,1))-AVERAGE(OFFSET($H$3,0,0,'Données projet'!$E$11+1,1))</f>
        <v>165.98015798223548</v>
      </c>
      <c r="BJ28" s="62">
        <f t="shared" si="38"/>
        <v>143.97979034100706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69.888000000000005</v>
      </c>
      <c r="CA28" s="14">
        <f t="shared" si="39"/>
        <v>19.645641432461961</v>
      </c>
      <c r="CB28" s="22">
        <f t="shared" si="10"/>
        <v>155.93775882820458</v>
      </c>
      <c r="CC28" s="62">
        <f t="shared" si="11"/>
        <v>449.27109216153792</v>
      </c>
      <c r="CD28" s="62">
        <f ca="1">AVERAGE(OFFSET($CC$3,0,0,'Données projet'!$E$12+1,1))-AVERAGE(OFFSET($H$3,0,0,'Données projet'!$E$12+1,1))</f>
        <v>335.16942824912076</v>
      </c>
      <c r="CE28" s="62">
        <f t="shared" si="40"/>
        <v>190.00559730122677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18.3</v>
      </c>
      <c r="N29" s="14">
        <f>IF('Données projet'!$A$36&gt;35,N28+M29-V28,IF(A29&lt;'Données projet'!$A$36,$K$205^A29,IF(A29='Données projet'!$A$36,'Données projet'!$B$36,N28+M29-V28)))</f>
        <v>200.10000000000002</v>
      </c>
      <c r="O29" s="14">
        <f>N29*VLOOKUP('Données projet'!$B$9,Paramètres!$A$1:$I$89,3,0)*VLOOKUP('Données projet'!$B$9,Paramètres!$A$1:$I$89,5,0)</f>
        <v>119.65980000000003</v>
      </c>
      <c r="P29" s="14">
        <f t="shared" si="33"/>
        <v>31.59564012514624</v>
      </c>
      <c r="Q29" s="22">
        <f t="shared" si="2"/>
        <v>263.43655821796307</v>
      </c>
      <c r="R29" s="62">
        <f t="shared" si="0"/>
        <v>556.76989155129638</v>
      </c>
      <c r="S29" s="62">
        <f ca="1">AVERAGE(OFFSET($R$3,0,0,'Données projet'!$E$9+1,1))-AVERAGE(OFFSET($H$3,0,0,'Données projet'!$E$9+1,1))</f>
        <v>152.63300189110146</v>
      </c>
      <c r="T29" s="62">
        <f t="shared" si="34"/>
        <v>236.66430374499453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2.7022859284757517</v>
      </c>
      <c r="AA29" s="23">
        <f>EXP(-LN(2)/25)*AA28+(1-EXP(-LN(2)/25))/(LN(2)/25)*Calculateur!V29*Calculateur!X29*VLOOKUP('Données projet'!$B$9,Paramètres!$A$1:$I$89,3,0)*0.475*44/12</f>
        <v>6.9549155558177986</v>
      </c>
      <c r="AB29" s="23">
        <f>EXP(-LN(2)/2)*AB28+(1-EXP(-LN(2)/2))/(LN(2)/2)*V29*Y29*VLOOKUP('Données projet'!$B$9,Paramètres!$A$1:$I$89,3,0)*0.475*44/12</f>
        <v>1.2709922063234129</v>
      </c>
      <c r="AC29" s="24">
        <f t="shared" si="3"/>
        <v>10.928193690616963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2.8746666666666658</v>
      </c>
      <c r="AI29" s="14">
        <f>IF('Données projet'!$A$62&gt;35,AI28+AH29-AQ28,IF(A29&lt;'Données projet'!$A$62,$AF$205^A29,IF(A29='Données projet'!$A$62,'Données projet'!$B$62,AI28+AH29-AQ28)))</f>
        <v>112.16366666666667</v>
      </c>
      <c r="AJ29" s="14">
        <f>AI29*VLOOKUP('Données projet'!$B$10,Paramètres!$A$1:$I$89,3,0)*VLOOKUP('Données projet'!$B$10,Paramètres!$A$1:$I$89,5,0)</f>
        <v>122.482724</v>
      </c>
      <c r="AK29" s="14">
        <f t="shared" si="35"/>
        <v>32.253361954544744</v>
      </c>
      <c r="AL29" s="22">
        <f t="shared" si="4"/>
        <v>269.49868303749878</v>
      </c>
      <c r="AM29" s="62">
        <f t="shared" si="5"/>
        <v>562.83201637083209</v>
      </c>
      <c r="AN29" s="62">
        <f ca="1">AVERAGE(OFFSET($AM$3,0,0,'Données projet'!$E$10+1,1))-AVERAGE(OFFSET($H$3,0,0,'Données projet'!$E$10+1,1))</f>
        <v>886.54265074144564</v>
      </c>
      <c r="AO29" s="62">
        <f t="shared" si="36"/>
        <v>254.8922423500004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2.94</v>
      </c>
      <c r="BD29" s="13">
        <f>IF('Données projet'!$A$88&gt;35,BD28+BC29-BL28,IF(A29&lt;'Données projet'!$A$88,$BA$205^A29,IF(A29='Données projet'!$A$88,'Données projet'!$B$88,BD28+BC29-BL28)))</f>
        <v>60.739999999999974</v>
      </c>
      <c r="BE29" s="14">
        <f>BD29*VLOOKUP('Données projet'!$B$11,Paramètres!$A$1:$I$89,3,0)*VLOOKUP('Données projet'!$B$11,Paramètres!$A$1:$I$89,5,0)</f>
        <v>69.972479999999962</v>
      </c>
      <c r="BF29" s="14">
        <f t="shared" si="37"/>
        <v>19.666623229057006</v>
      </c>
      <c r="BG29" s="22">
        <f t="shared" si="7"/>
        <v>156.12143812394086</v>
      </c>
      <c r="BH29" s="62">
        <f t="shared" si="8"/>
        <v>449.45477145727421</v>
      </c>
      <c r="BI29" s="62">
        <f ca="1">AVERAGE(OFFSET($BH$3,0,0,'Données projet'!$E$11+1,1))-AVERAGE(OFFSET($H$3,0,0,'Données projet'!$E$11+1,1))</f>
        <v>165.98015798223548</v>
      </c>
      <c r="BJ29" s="62">
        <f t="shared" si="38"/>
        <v>143.97979034100706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76.876800000000003</v>
      </c>
      <c r="CA29" s="14">
        <f t="shared" si="39"/>
        <v>21.371784666185118</v>
      </c>
      <c r="CB29" s="22">
        <f t="shared" si="10"/>
        <v>171.11628496027242</v>
      </c>
      <c r="CC29" s="62">
        <f t="shared" si="11"/>
        <v>464.44961829360574</v>
      </c>
      <c r="CD29" s="62">
        <f ca="1">AVERAGE(OFFSET($CC$3,0,0,'Données projet'!$E$12+1,1))-AVERAGE(OFFSET($H$3,0,0,'Données projet'!$E$12+1,1))</f>
        <v>335.16942824912076</v>
      </c>
      <c r="CE29" s="62">
        <f t="shared" si="40"/>
        <v>190.00559730122677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218.4</v>
      </c>
      <c r="L30" s="13">
        <f>VLOOKUP(A30,'Données projet'!$A$35:$I$55,9,0)</f>
        <v>18.3</v>
      </c>
      <c r="M30" s="13">
        <f t="array" ref="M30">INDEX(L:L,MIN(IF(ISNUMBER(L30:L226),ROW(L30:L226),"")))</f>
        <v>18.3</v>
      </c>
      <c r="N30" s="14">
        <f>IF('Données projet'!$A$36&gt;35,N29+M30-V29,IF(A30&lt;'Données projet'!$A$36,$K$205^A30,IF(A30='Données projet'!$A$36,'Données projet'!$B$36,N29+M30-V29)))</f>
        <v>218.40000000000003</v>
      </c>
      <c r="O30" s="14">
        <f>N30*VLOOKUP('Données projet'!$B$9,Paramètres!$A$1:$I$89,3,0)*VLOOKUP('Données projet'!$B$9,Paramètres!$A$1:$I$89,5,0)</f>
        <v>130.60320000000004</v>
      </c>
      <c r="P30" s="14">
        <f t="shared" si="33"/>
        <v>34.135703567016428</v>
      </c>
      <c r="Q30" s="22">
        <f t="shared" si="2"/>
        <v>286.92025704588701</v>
      </c>
      <c r="R30" s="62">
        <f t="shared" si="0"/>
        <v>580.25359037922033</v>
      </c>
      <c r="S30" s="62">
        <f ca="1">AVERAGE(OFFSET($R$3,0,0,'Données projet'!$E$9+1,1))-AVERAGE(OFFSET($H$3,0,0,'Données projet'!$E$9+1,1))</f>
        <v>152.63300189110146</v>
      </c>
      <c r="T30" s="62">
        <f t="shared" si="34"/>
        <v>236.66430374499453</v>
      </c>
      <c r="U30" s="16">
        <f>IF(ISNA(VLOOKUP(A30,'Données projet'!$A$35:$I$55,3,0)),0,VLOOKUP(A30,'Données projet'!$A$35:$I$55,3,0))</f>
        <v>3</v>
      </c>
      <c r="V30" s="16">
        <f>IF(ISNA(VLOOKUP(A30,'Données projet'!$A$35:$I$55,4,0)),0,VLOOKUP(A30,'Données projet'!$A$35:$I$55,4,0))</f>
        <v>54.5</v>
      </c>
      <c r="W30" s="17">
        <f>IF(ISNA(VLOOKUP(A30,'Données projet'!$A$35:$I$55,5,0)),0%,VLOOKUP(A30,'Données projet'!$A$35:$I$55,5,0)*VLOOKUP('Données projet'!$B$9,Paramètres!$A$1:$I$89,7,0))</f>
        <v>0.27</v>
      </c>
      <c r="X30" s="17">
        <f>IF(ISNA(VLOOKUP(A30,'Données projet'!$A$35:$I$55,6,0)),0%,VLOOKUP(A30,'Données projet'!$A$35:$I$55,6,0)*VLOOKUP('Données projet'!$B$9,Paramètres!$A$1:$I$89,7,0))</f>
        <v>9.0000000000000011E-2</v>
      </c>
      <c r="Y30" s="17">
        <f>IF(ISNA(VLOOKUP(A30,'Données projet'!$A$35:$I$55,7,0)),0%,VLOOKUP(A30,'Données projet'!$A$35:$I$55,7,0))</f>
        <v>0.2</v>
      </c>
      <c r="Z30" s="23">
        <f>EXP(-LN(2)/35)*Z29+(1-EXP(-LN(2)/35))/(LN(2)/35)*V30*W30*VLOOKUP('Données projet'!$B$9,Paramètres!$A$1:$I$89,3,0)*0.475*44/12</f>
        <v>14.322492534802127</v>
      </c>
      <c r="AA30" s="23">
        <f>EXP(-LN(2)/25)*AA29+(1-EXP(-LN(2)/25))/(LN(2)/25)*Calculateur!V30*Calculateur!X30*VLOOKUP('Données projet'!$B$9,Paramètres!$A$1:$I$89,3,0)*0.475*44/12</f>
        <v>10.640478011391611</v>
      </c>
      <c r="AB30" s="23">
        <f>EXP(-LN(2)/2)*AB29+(1-EXP(-LN(2)/2))/(LN(2)/2)*V30*Y30*VLOOKUP('Données projet'!$B$9,Paramètres!$A$1:$I$89,3,0)*0.475*44/12</f>
        <v>8.2788437696635473</v>
      </c>
      <c r="AC30" s="24">
        <f t="shared" si="3"/>
        <v>33.241814315857283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2.8746666666666658</v>
      </c>
      <c r="AI30" s="14">
        <f>IF('Données projet'!$A$62&gt;35,AI29+AH30-AQ29,IF(A30&lt;'Données projet'!$A$62,$AF$205^A30,IF(A30='Données projet'!$A$62,'Données projet'!$B$62,AI29+AH30-AQ29)))</f>
        <v>115.03833333333334</v>
      </c>
      <c r="AJ30" s="14">
        <f>AI30*VLOOKUP('Données projet'!$B$10,Paramètres!$A$1:$I$89,3,0)*VLOOKUP('Données projet'!$B$10,Paramètres!$A$1:$I$89,5,0)</f>
        <v>125.62186</v>
      </c>
      <c r="AK30" s="14">
        <f t="shared" si="35"/>
        <v>32.982691506966873</v>
      </c>
      <c r="AL30" s="22">
        <f t="shared" si="4"/>
        <v>276.23626054130062</v>
      </c>
      <c r="AM30" s="62">
        <f t="shared" si="5"/>
        <v>569.56959387463394</v>
      </c>
      <c r="AN30" s="62">
        <f ca="1">AVERAGE(OFFSET($AM$3,0,0,'Données projet'!$E$10+1,1))-AVERAGE(OFFSET($H$3,0,0,'Données projet'!$E$10+1,1))</f>
        <v>886.54265074144564</v>
      </c>
      <c r="AO30" s="62">
        <f t="shared" si="36"/>
        <v>254.8922423500004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2.94</v>
      </c>
      <c r="BD30" s="13">
        <f>IF('Données projet'!$A$88&gt;35,BD29+BC30-BL29,IF(A30&lt;'Données projet'!$A$88,$BA$205^A30,IF(A30='Données projet'!$A$88,'Données projet'!$B$88,BD29+BC30-BL29)))</f>
        <v>63.679999999999971</v>
      </c>
      <c r="BE30" s="14">
        <f>BD30*VLOOKUP('Données projet'!$B$11,Paramètres!$A$1:$I$89,3,0)*VLOOKUP('Données projet'!$B$11,Paramètres!$A$1:$I$89,5,0)</f>
        <v>73.359359999999953</v>
      </c>
      <c r="BF30" s="14">
        <f t="shared" si="37"/>
        <v>20.505415535622767</v>
      </c>
      <c r="BG30" s="22">
        <f t="shared" si="7"/>
        <v>163.48115072454291</v>
      </c>
      <c r="BH30" s="62">
        <f t="shared" si="8"/>
        <v>456.81448405787626</v>
      </c>
      <c r="BI30" s="62">
        <f ca="1">AVERAGE(OFFSET($BH$3,0,0,'Données projet'!$E$11+1,1))-AVERAGE(OFFSET($H$3,0,0,'Données projet'!$E$11+1,1))</f>
        <v>165.98015798223548</v>
      </c>
      <c r="BJ30" s="62">
        <f t="shared" si="38"/>
        <v>143.97979034100706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83.865600000000001</v>
      </c>
      <c r="CA30" s="14">
        <f t="shared" si="39"/>
        <v>23.079732033574274</v>
      </c>
      <c r="CB30" s="22">
        <f t="shared" si="10"/>
        <v>186.26311995847519</v>
      </c>
      <c r="CC30" s="62">
        <f t="shared" si="11"/>
        <v>479.59645329180853</v>
      </c>
      <c r="CD30" s="62">
        <f ca="1">AVERAGE(OFFSET($CC$3,0,0,'Données projet'!$E$12+1,1))-AVERAGE(OFFSET($H$3,0,0,'Données projet'!$E$12+1,1))</f>
        <v>335.16942824912076</v>
      </c>
      <c r="CE30" s="62">
        <f t="shared" si="40"/>
        <v>190.00559730122677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15.9</v>
      </c>
      <c r="N31" s="14">
        <f>IF('Données projet'!$A$36&gt;35,N30+M31-V30,IF(A31&lt;'Données projet'!$A$36,$K$205^A31,IF(A31='Données projet'!$A$36,'Données projet'!$B$36,N30+M31-V30)))</f>
        <v>179.80000000000004</v>
      </c>
      <c r="O31" s="14">
        <f>N31*VLOOKUP('Données projet'!$B$9,Paramètres!$A$1:$I$89,3,0)*VLOOKUP('Données projet'!$B$9,Paramètres!$A$1:$I$89,5,0)</f>
        <v>107.52040000000004</v>
      </c>
      <c r="P31" s="14">
        <f t="shared" si="33"/>
        <v>28.745998516288903</v>
      </c>
      <c r="Q31" s="22">
        <f t="shared" si="2"/>
        <v>237.33064408253657</v>
      </c>
      <c r="R31" s="62">
        <f t="shared" si="0"/>
        <v>530.66397741586991</v>
      </c>
      <c r="S31" s="62">
        <f ca="1">AVERAGE(OFFSET($R$3,0,0,'Données projet'!$E$9+1,1))-AVERAGE(OFFSET($H$3,0,0,'Données projet'!$E$9+1,1))</f>
        <v>152.63300189110146</v>
      </c>
      <c r="T31" s="62">
        <f t="shared" si="34"/>
        <v>236.66430374499453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14.041637192052509</v>
      </c>
      <c r="AA31" s="23">
        <f>EXP(-LN(2)/25)*AA30+(1-EXP(-LN(2)/25))/(LN(2)/25)*Calculateur!V31*Calculateur!X31*VLOOKUP('Données projet'!$B$9,Paramètres!$A$1:$I$89,3,0)*0.475*44/12</f>
        <v>10.349513580611688</v>
      </c>
      <c r="AB31" s="23">
        <f>EXP(-LN(2)/2)*AB30+(1-EXP(-LN(2)/2))/(LN(2)/2)*V31*Y31*VLOOKUP('Données projet'!$B$9,Paramètres!$A$1:$I$89,3,0)*0.475*44/12</f>
        <v>5.8540265699130947</v>
      </c>
      <c r="AC31" s="24">
        <f t="shared" si="3"/>
        <v>30.245177342577293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2.8746666666666658</v>
      </c>
      <c r="AI31" s="14">
        <f>IF('Données projet'!$A$62&gt;35,AI30+AH31-AQ30,IF(A31&lt;'Données projet'!$A$62,$AF$205^A31,IF(A31='Données projet'!$A$62,'Données projet'!$B$62,AI30+AH31-AQ30)))</f>
        <v>117.91300000000001</v>
      </c>
      <c r="AJ31" s="14">
        <f>AI31*VLOOKUP('Données projet'!$B$10,Paramètres!$A$1:$I$89,3,0)*VLOOKUP('Données projet'!$B$10,Paramètres!$A$1:$I$89,5,0)</f>
        <v>128.76099600000001</v>
      </c>
      <c r="AK31" s="14">
        <f t="shared" si="35"/>
        <v>33.709902512836237</v>
      </c>
      <c r="AL31" s="22">
        <f t="shared" si="4"/>
        <v>282.97014824318978</v>
      </c>
      <c r="AM31" s="62">
        <f t="shared" si="5"/>
        <v>576.30348157652315</v>
      </c>
      <c r="AN31" s="62">
        <f ca="1">AVERAGE(OFFSET($AM$3,0,0,'Données projet'!$E$10+1,1))-AVERAGE(OFFSET($H$3,0,0,'Données projet'!$E$10+1,1))</f>
        <v>886.54265074144564</v>
      </c>
      <c r="AO31" s="62">
        <f t="shared" si="36"/>
        <v>254.8922423500004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2.94</v>
      </c>
      <c r="BD31" s="13">
        <f>IF('Données projet'!$A$88&gt;35,BD30+BC31-BL30,IF(A31&lt;'Données projet'!$A$88,$BA$205^A31,IF(A31='Données projet'!$A$88,'Données projet'!$B$88,BD30+BC31-BL30)))</f>
        <v>66.619999999999976</v>
      </c>
      <c r="BE31" s="14">
        <f>BD31*VLOOKUP('Données projet'!$B$11,Paramètres!$A$1:$I$89,3,0)*VLOOKUP('Données projet'!$B$11,Paramètres!$A$1:$I$89,5,0)</f>
        <v>76.746239999999972</v>
      </c>
      <c r="BF31" s="14">
        <f t="shared" si="37"/>
        <v>21.339710579985095</v>
      </c>
      <c r="BG31" s="22">
        <f t="shared" si="7"/>
        <v>170.83303059347398</v>
      </c>
      <c r="BH31" s="62">
        <f t="shared" si="8"/>
        <v>464.16636392680732</v>
      </c>
      <c r="BI31" s="62">
        <f ca="1">AVERAGE(OFFSET($BH$3,0,0,'Données projet'!$E$11+1,1))-AVERAGE(OFFSET($H$3,0,0,'Données projet'!$E$11+1,1))</f>
        <v>165.98015798223548</v>
      </c>
      <c r="BJ31" s="62">
        <f t="shared" si="38"/>
        <v>143.97979034100706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90.854400000000012</v>
      </c>
      <c r="CA31" s="14">
        <f t="shared" si="39"/>
        <v>24.771172249191284</v>
      </c>
      <c r="CB31" s="22">
        <f t="shared" si="10"/>
        <v>201.38120500067484</v>
      </c>
      <c r="CC31" s="62">
        <f t="shared" si="11"/>
        <v>494.71453833400813</v>
      </c>
      <c r="CD31" s="62">
        <f ca="1">AVERAGE(OFFSET($CC$3,0,0,'Données projet'!$E$12+1,1))-AVERAGE(OFFSET($H$3,0,0,'Données projet'!$E$12+1,1))</f>
        <v>335.16942824912076</v>
      </c>
      <c r="CE31" s="62">
        <f t="shared" si="40"/>
        <v>190.00559730122677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15.9</v>
      </c>
      <c r="N32" s="14">
        <f>IF('Données projet'!$A$36&gt;35,N31+M32-V31,IF(A32&lt;'Données projet'!$A$36,$K$205^A32,IF(A32='Données projet'!$A$36,'Données projet'!$B$36,N31+M32-V31)))</f>
        <v>195.70000000000005</v>
      </c>
      <c r="O32" s="14">
        <f>N32*VLOOKUP('Données projet'!$B$9,Paramètres!$A$1:$I$89,3,0)*VLOOKUP('Données projet'!$B$9,Paramètres!$A$1:$I$89,5,0)</f>
        <v>117.02860000000003</v>
      </c>
      <c r="P32" s="14">
        <f t="shared" si="33"/>
        <v>30.980960968500831</v>
      </c>
      <c r="Q32" s="22">
        <f t="shared" si="2"/>
        <v>257.78331868680567</v>
      </c>
      <c r="R32" s="62">
        <f t="shared" si="0"/>
        <v>551.11665202013899</v>
      </c>
      <c r="S32" s="62">
        <f ca="1">AVERAGE(OFFSET($R$3,0,0,'Données projet'!$E$9+1,1))-AVERAGE(OFFSET($H$3,0,0,'Données projet'!$E$9+1,1))</f>
        <v>152.63300189110146</v>
      </c>
      <c r="T32" s="62">
        <f t="shared" si="34"/>
        <v>236.66430374499453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13.766289251269367</v>
      </c>
      <c r="AA32" s="23">
        <f>EXP(-LN(2)/25)*AA31+(1-EXP(-LN(2)/25))/(LN(2)/25)*Calculateur!V32*Calculateur!X32*VLOOKUP('Données projet'!$B$9,Paramètres!$A$1:$I$89,3,0)*0.475*44/12</f>
        <v>10.066505587492596</v>
      </c>
      <c r="AB32" s="23">
        <f>EXP(-LN(2)/2)*AB31+(1-EXP(-LN(2)/2))/(LN(2)/2)*V32*Y32*VLOOKUP('Données projet'!$B$9,Paramètres!$A$1:$I$89,3,0)*0.475*44/12</f>
        <v>4.1394218848317745</v>
      </c>
      <c r="AC32" s="24">
        <f t="shared" si="3"/>
        <v>27.972216723593739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2.8746666666666658</v>
      </c>
      <c r="AI32" s="14">
        <f>IF('Données projet'!$A$62&gt;35,AI31+AH32-AQ31,IF(A32&lt;'Données projet'!$A$62,$AF$205^A32,IF(A32='Données projet'!$A$62,'Données projet'!$B$62,AI31+AH32-AQ31)))</f>
        <v>120.78766666666668</v>
      </c>
      <c r="AJ32" s="14">
        <f>AI32*VLOOKUP('Données projet'!$B$10,Paramètres!$A$1:$I$89,3,0)*VLOOKUP('Données projet'!$B$10,Paramètres!$A$1:$I$89,5,0)</f>
        <v>131.90013200000001</v>
      </c>
      <c r="AK32" s="14">
        <f t="shared" si="35"/>
        <v>34.43505256314883</v>
      </c>
      <c r="AL32" s="22">
        <f t="shared" si="4"/>
        <v>289.70044644748424</v>
      </c>
      <c r="AM32" s="62">
        <f t="shared" si="5"/>
        <v>583.03377978081755</v>
      </c>
      <c r="AN32" s="62">
        <f ca="1">AVERAGE(OFFSET($AM$3,0,0,'Données projet'!$E$10+1,1))-AVERAGE(OFFSET($H$3,0,0,'Données projet'!$E$10+1,1))</f>
        <v>886.54265074144564</v>
      </c>
      <c r="AO32" s="62">
        <f t="shared" si="36"/>
        <v>254.8922423500004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2.94</v>
      </c>
      <c r="BD32" s="13">
        <f>IF('Données projet'!$A$88&gt;35,BD31+BC32-BL31,IF(A32&lt;'Données projet'!$A$88,$BA$205^A32,IF(A32='Données projet'!$A$88,'Données projet'!$B$88,BD31+BC32-BL31)))</f>
        <v>69.559999999999974</v>
      </c>
      <c r="BE32" s="14">
        <f>BD32*VLOOKUP('Données projet'!$B$11,Paramètres!$A$1:$I$89,3,0)*VLOOKUP('Données projet'!$B$11,Paramètres!$A$1:$I$89,5,0)</f>
        <v>80.133119999999977</v>
      </c>
      <c r="BF32" s="14">
        <f t="shared" si="37"/>
        <v>22.169729510506542</v>
      </c>
      <c r="BG32" s="22">
        <f t="shared" si="7"/>
        <v>178.17746289746552</v>
      </c>
      <c r="BH32" s="62">
        <f t="shared" si="8"/>
        <v>471.51079623079886</v>
      </c>
      <c r="BI32" s="62">
        <f ca="1">AVERAGE(OFFSET($BH$3,0,0,'Données projet'!$E$11+1,1))-AVERAGE(OFFSET($H$3,0,0,'Données projet'!$E$11+1,1))</f>
        <v>165.98015798223548</v>
      </c>
      <c r="BJ32" s="62">
        <f t="shared" si="38"/>
        <v>143.97979034100706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97.843199999999996</v>
      </c>
      <c r="CA32" s="14">
        <f t="shared" si="39"/>
        <v>26.447519466918756</v>
      </c>
      <c r="CB32" s="22">
        <f t="shared" si="10"/>
        <v>216.47300307155012</v>
      </c>
      <c r="CC32" s="62">
        <f t="shared" si="11"/>
        <v>509.80633640488344</v>
      </c>
      <c r="CD32" s="62">
        <f ca="1">AVERAGE(OFFSET($CC$3,0,0,'Données projet'!$E$12+1,1))-AVERAGE(OFFSET($H$3,0,0,'Données projet'!$E$12+1,1))</f>
        <v>335.16942824912076</v>
      </c>
      <c r="CE32" s="62">
        <f t="shared" si="40"/>
        <v>190.00559730122677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15.9</v>
      </c>
      <c r="N33" s="14">
        <f>IF('Données projet'!$A$36&gt;35,N32+M33-V32,IF(A33&lt;'Données projet'!$A$36,$K$205^A33,IF(A33='Données projet'!$A$36,'Données projet'!$B$36,N32+M33-V32)))</f>
        <v>211.60000000000005</v>
      </c>
      <c r="O33" s="14">
        <f>N33*VLOOKUP('Données projet'!$B$9,Paramètres!$A$1:$I$89,3,0)*VLOOKUP('Données projet'!$B$9,Paramètres!$A$1:$I$89,5,0)</f>
        <v>126.53680000000004</v>
      </c>
      <c r="P33" s="14">
        <f t="shared" si="33"/>
        <v>33.194862281434972</v>
      </c>
      <c r="Q33" s="22">
        <f t="shared" si="2"/>
        <v>278.19931180683267</v>
      </c>
      <c r="R33" s="62">
        <f t="shared" si="0"/>
        <v>571.53264514016598</v>
      </c>
      <c r="S33" s="62">
        <f ca="1">AVERAGE(OFFSET($R$3,0,0,'Données projet'!$E$9+1,1))-AVERAGE(OFFSET($H$3,0,0,'Données projet'!$E$9+1,1))</f>
        <v>152.63300189110146</v>
      </c>
      <c r="T33" s="62">
        <f t="shared" si="34"/>
        <v>236.66430374499453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13.496340715659322</v>
      </c>
      <c r="AA33" s="23">
        <f>EXP(-LN(2)/25)*AA32+(1-EXP(-LN(2)/25))/(LN(2)/25)*Calculateur!V33*Calculateur!X33*VLOOKUP('Données projet'!$B$9,Paramètres!$A$1:$I$89,3,0)*0.475*44/12</f>
        <v>9.7912364628280901</v>
      </c>
      <c r="AB33" s="23">
        <f>EXP(-LN(2)/2)*AB32+(1-EXP(-LN(2)/2))/(LN(2)/2)*V33*Y33*VLOOKUP('Données projet'!$B$9,Paramètres!$A$1:$I$89,3,0)*0.475*44/12</f>
        <v>2.9270132849565478</v>
      </c>
      <c r="AC33" s="24">
        <f t="shared" si="3"/>
        <v>26.214590463443958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2.8746666666666658</v>
      </c>
      <c r="AI33" s="14">
        <f>IF('Données projet'!$A$62&gt;35,AI32+AH33-AQ32,IF(A33&lt;'Données projet'!$A$62,$AF$205^A33,IF(A33='Données projet'!$A$62,'Données projet'!$B$62,AI32+AH33-AQ32)))</f>
        <v>123.66233333333335</v>
      </c>
      <c r="AJ33" s="14">
        <f>AI33*VLOOKUP('Données projet'!$B$10,Paramètres!$A$1:$I$89,3,0)*VLOOKUP('Données projet'!$B$10,Paramètres!$A$1:$I$89,5,0)</f>
        <v>135.03926800000002</v>
      </c>
      <c r="AK33" s="14">
        <f t="shared" si="35"/>
        <v>35.158196351294819</v>
      </c>
      <c r="AL33" s="22">
        <f t="shared" si="4"/>
        <v>296.42725041183854</v>
      </c>
      <c r="AM33" s="62">
        <f t="shared" si="5"/>
        <v>589.76058374517186</v>
      </c>
      <c r="AN33" s="62">
        <f ca="1">AVERAGE(OFFSET($AM$3,0,0,'Données projet'!$E$10+1,1))-AVERAGE(OFFSET($H$3,0,0,'Données projet'!$E$10+1,1))</f>
        <v>886.54265074144564</v>
      </c>
      <c r="AO33" s="62">
        <f t="shared" si="36"/>
        <v>254.8922423500004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72.5</v>
      </c>
      <c r="BB33" s="13">
        <f>VLOOKUP(A33,'Données projet'!$A$87:$I$107,9,0)</f>
        <v>2.94</v>
      </c>
      <c r="BC33" s="13">
        <f t="array" ref="BC33">INDEX(BB:BB,MIN(IF(ISNUMBER(BB33:BB229),ROW(BB33:BB229),"")))</f>
        <v>2.94</v>
      </c>
      <c r="BD33" s="13">
        <f>IF('Données projet'!$A$88&gt;35,BD32+BC33-BL32,IF(A33&lt;'Données projet'!$A$88,$BA$205^A33,IF(A33='Données projet'!$A$88,'Données projet'!$B$88,BD32+BC33-BL32)))</f>
        <v>72.499999999999972</v>
      </c>
      <c r="BE33" s="14">
        <f>BD33*VLOOKUP('Données projet'!$B$11,Paramètres!$A$1:$I$89,3,0)*VLOOKUP('Données projet'!$B$11,Paramètres!$A$1:$I$89,5,0)</f>
        <v>83.519999999999953</v>
      </c>
      <c r="BF33" s="14">
        <f t="shared" si="37"/>
        <v>22.995673724121684</v>
      </c>
      <c r="BG33" s="22">
        <f t="shared" si="7"/>
        <v>185.51479840284517</v>
      </c>
      <c r="BH33" s="62">
        <f t="shared" si="8"/>
        <v>478.84813173617852</v>
      </c>
      <c r="BI33" s="62">
        <f ca="1">AVERAGE(OFFSET($BH$3,0,0,'Données projet'!$E$11+1,1))-AVERAGE(OFFSET($H$3,0,0,'Données projet'!$E$11+1,1))</f>
        <v>165.98015798223548</v>
      </c>
      <c r="BJ33" s="62">
        <f t="shared" si="38"/>
        <v>143.97979034100706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17.3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104.83200000000001</v>
      </c>
      <c r="CA33" s="14">
        <f t="shared" si="39"/>
        <v>28.109974371137717</v>
      </c>
      <c r="CB33" s="22">
        <f t="shared" si="10"/>
        <v>231.54060536306486</v>
      </c>
      <c r="CC33" s="62">
        <f t="shared" si="11"/>
        <v>524.87393869639823</v>
      </c>
      <c r="CD33" s="62">
        <f ca="1">AVERAGE(OFFSET($CC$3,0,0,'Données projet'!$E$12+1,1))-AVERAGE(OFFSET($H$3,0,0,'Données projet'!$E$12+1,1))</f>
        <v>335.16942824912076</v>
      </c>
      <c r="CE33" s="62">
        <f t="shared" si="40"/>
        <v>190.00559730122677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15.9</v>
      </c>
      <c r="N34" s="14">
        <f>IF('Données projet'!$A$36&gt;35,N33+M34-V33,IF(A34&lt;'Données projet'!$A$36,$K$205^A34,IF(A34='Données projet'!$A$36,'Données projet'!$B$36,N33+M34-V33)))</f>
        <v>227.50000000000006</v>
      </c>
      <c r="O34" s="14">
        <f>N34*VLOOKUP('Données projet'!$B$9,Paramètres!$A$1:$I$89,3,0)*VLOOKUP('Données projet'!$B$9,Paramètres!$A$1:$I$89,5,0)</f>
        <v>136.04500000000004</v>
      </c>
      <c r="P34" s="14">
        <f t="shared" si="33"/>
        <v>35.389464976859308</v>
      </c>
      <c r="Q34" s="22">
        <f t="shared" si="2"/>
        <v>298.58169316803003</v>
      </c>
      <c r="R34" s="62">
        <f t="shared" si="0"/>
        <v>591.9150265013634</v>
      </c>
      <c r="S34" s="62">
        <f ca="1">AVERAGE(OFFSET($R$3,0,0,'Données projet'!$E$9+1,1))-AVERAGE(OFFSET($H$3,0,0,'Données projet'!$E$9+1,1))</f>
        <v>152.63300189110146</v>
      </c>
      <c r="T34" s="62">
        <f t="shared" si="34"/>
        <v>236.66430374499453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13.231685706180242</v>
      </c>
      <c r="AA34" s="23">
        <f>EXP(-LN(2)/25)*AA33+(1-EXP(-LN(2)/25))/(LN(2)/25)*Calculateur!V34*Calculateur!X34*VLOOKUP('Données projet'!$B$9,Paramètres!$A$1:$I$89,3,0)*0.475*44/12</f>
        <v>9.5234945868533085</v>
      </c>
      <c r="AB34" s="23">
        <f>EXP(-LN(2)/2)*AB33+(1-EXP(-LN(2)/2))/(LN(2)/2)*V34*Y34*VLOOKUP('Données projet'!$B$9,Paramètres!$A$1:$I$89,3,0)*0.475*44/12</f>
        <v>2.0697109424158873</v>
      </c>
      <c r="AC34" s="24">
        <f t="shared" si="3"/>
        <v>24.824891235449439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2.8746666666666658</v>
      </c>
      <c r="AI34" s="14">
        <f>IF('Données projet'!$A$62&gt;35,AI33+AH34-AQ33,IF(A34&lt;'Données projet'!$A$62,$AF$205^A34,IF(A34='Données projet'!$A$62,'Données projet'!$B$62,AI33+AH34-AQ33)))</f>
        <v>126.53700000000002</v>
      </c>
      <c r="AJ34" s="14">
        <f>AI34*VLOOKUP('Données projet'!$B$10,Paramètres!$A$1:$I$89,3,0)*VLOOKUP('Données projet'!$B$10,Paramètres!$A$1:$I$89,5,0)</f>
        <v>138.178404</v>
      </c>
      <c r="AK34" s="14">
        <f t="shared" si="35"/>
        <v>35.879385882765497</v>
      </c>
      <c r="AL34" s="22">
        <f t="shared" si="4"/>
        <v>303.15065071248324</v>
      </c>
      <c r="AM34" s="62">
        <f t="shared" si="5"/>
        <v>596.48398404581656</v>
      </c>
      <c r="AN34" s="62">
        <f ca="1">AVERAGE(OFFSET($AM$3,0,0,'Données projet'!$E$10+1,1))-AVERAGE(OFFSET($H$3,0,0,'Données projet'!$E$10+1,1))</f>
        <v>886.54265074144564</v>
      </c>
      <c r="AO34" s="62">
        <f t="shared" si="36"/>
        <v>254.8922423500004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2.87</v>
      </c>
      <c r="BD34" s="13">
        <f>IF('Données projet'!$A$88&gt;35,BD33+BC34-BL33,IF(A34&lt;'Données projet'!$A$88,$BA$205^A34,IF(A34='Données projet'!$A$88,'Données projet'!$B$88,BD33+BC34-BL33)))</f>
        <v>58.069999999999979</v>
      </c>
      <c r="BE34" s="14">
        <f>BD34*VLOOKUP('Données projet'!$B$11,Paramètres!$A$1:$I$89,3,0)*VLOOKUP('Données projet'!$B$11,Paramètres!$A$1:$I$89,5,0)</f>
        <v>66.896639999999977</v>
      </c>
      <c r="BF34" s="14">
        <f t="shared" si="37"/>
        <v>18.900761799945251</v>
      </c>
      <c r="BG34" s="22">
        <f t="shared" si="7"/>
        <v>149.43047480157125</v>
      </c>
      <c r="BH34" s="62">
        <f t="shared" si="8"/>
        <v>442.76380813490459</v>
      </c>
      <c r="BI34" s="62">
        <f ca="1">AVERAGE(OFFSET($BH$3,0,0,'Données projet'!$E$11+1,1))-AVERAGE(OFFSET($H$3,0,0,'Données projet'!$E$11+1,1))</f>
        <v>165.98015798223548</v>
      </c>
      <c r="BJ34" s="62">
        <f t="shared" si="38"/>
        <v>143.97979034100706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83.865600000000001</v>
      </c>
      <c r="CA34" s="14">
        <f t="shared" si="39"/>
        <v>23.079732033574274</v>
      </c>
      <c r="CB34" s="22">
        <f t="shared" si="10"/>
        <v>186.26311995847519</v>
      </c>
      <c r="CC34" s="62">
        <f t="shared" si="11"/>
        <v>479.59645329180853</v>
      </c>
      <c r="CD34" s="62">
        <f ca="1">AVERAGE(OFFSET($CC$3,0,0,'Données projet'!$E$12+1,1))-AVERAGE(OFFSET($H$3,0,0,'Données projet'!$E$12+1,1))</f>
        <v>335.16942824912076</v>
      </c>
      <c r="CE34" s="62">
        <f t="shared" si="40"/>
        <v>190.00559730122677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243.4</v>
      </c>
      <c r="L35" s="13">
        <f>VLOOKUP(A35,'Données projet'!$A$35:$I$55,9,0)</f>
        <v>15.9</v>
      </c>
      <c r="M35" s="13">
        <f t="array" ref="M35">INDEX(L:L,MIN(IF(ISNUMBER(L35:L231),ROW(L35:L231),"")))</f>
        <v>15.9</v>
      </c>
      <c r="N35" s="14">
        <f>IF('Données projet'!$A$36&gt;35,N34+M35-V34,IF(A35&lt;'Données projet'!$A$36,$K$205^A35,IF(A35='Données projet'!$A$36,'Données projet'!$B$36,N34+M35-V34)))</f>
        <v>243.40000000000006</v>
      </c>
      <c r="O35" s="14">
        <f>N35*VLOOKUP('Données projet'!$B$9,Paramètres!$A$1:$I$89,3,0)*VLOOKUP('Données projet'!$B$9,Paramètres!$A$1:$I$89,5,0)</f>
        <v>145.55320000000003</v>
      </c>
      <c r="P35" s="14">
        <f t="shared" si="33"/>
        <v>37.566271258601809</v>
      </c>
      <c r="Q35" s="22">
        <f t="shared" ref="Q35:Q66" si="53">(O35+P35)*0.475*44/12</f>
        <v>318.93307910873153</v>
      </c>
      <c r="R35" s="62">
        <f t="shared" si="0"/>
        <v>612.26641244206485</v>
      </c>
      <c r="S35" s="62">
        <f ca="1">AVERAGE(OFFSET($R$3,0,0,'Données projet'!$E$9+1,1))-AVERAGE(OFFSET($H$3,0,0,'Données projet'!$E$9+1,1))</f>
        <v>152.63300189110146</v>
      </c>
      <c r="T35" s="62">
        <f t="shared" si="34"/>
        <v>236.66430374499453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62.7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12.972220420013429</v>
      </c>
      <c r="AA35" s="23">
        <f>EXP(-LN(2)/25)*AA34+(1-EXP(-LN(2)/25))/(LN(2)/25)*Calculateur!V35*Calculateur!X35*VLOOKUP('Données projet'!$B$9,Paramètres!$A$1:$I$89,3,0)*0.475*44/12</f>
        <v>9.2630741265569903</v>
      </c>
      <c r="AB35" s="23">
        <f>EXP(-LN(2)/2)*AB34+(1-EXP(-LN(2)/2))/(LN(2)/2)*V35*Y35*VLOOKUP('Données projet'!$B$9,Paramètres!$A$1:$I$89,3,0)*0.475*44/12</f>
        <v>1.4635066424782739</v>
      </c>
      <c r="AC35" s="24">
        <f t="shared" si="3"/>
        <v>23.698801189048694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2.8746666666666658</v>
      </c>
      <c r="AI35" s="14">
        <f>IF('Données projet'!$A$62&gt;35,AI34+AH35-AQ34,IF(A35&lt;'Données projet'!$A$62,$AF$205^A35,IF(A35='Données projet'!$A$62,'Données projet'!$B$62,AI34+AH35-AQ34)))</f>
        <v>129.41166666666669</v>
      </c>
      <c r="AJ35" s="14">
        <f>AI35*VLOOKUP('Données projet'!$B$10,Paramètres!$A$1:$I$89,3,0)*VLOOKUP('Données projet'!$B$10,Paramètres!$A$1:$I$89,5,0)</f>
        <v>141.31754000000004</v>
      </c>
      <c r="AK35" s="14">
        <f t="shared" si="35"/>
        <v>36.598670665266241</v>
      </c>
      <c r="AL35" s="22">
        <f t="shared" si="4"/>
        <v>309.87073357533876</v>
      </c>
      <c r="AM35" s="62">
        <f t="shared" si="5"/>
        <v>603.20406690867208</v>
      </c>
      <c r="AN35" s="62">
        <f ca="1">AVERAGE(OFFSET($AM$3,0,0,'Données projet'!$E$10+1,1))-AVERAGE(OFFSET($H$3,0,0,'Données projet'!$E$10+1,1))</f>
        <v>886.54265074144564</v>
      </c>
      <c r="AO35" s="62">
        <f t="shared" si="36"/>
        <v>254.8922423500004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2.87</v>
      </c>
      <c r="BD35" s="13">
        <f>IF('Données projet'!$A$88&gt;35,BD34+BC35-BL34,IF(A35&lt;'Données projet'!$A$88,$BA$205^A35,IF(A35='Données projet'!$A$88,'Données projet'!$B$88,BD34+BC35-BL34)))</f>
        <v>60.939999999999976</v>
      </c>
      <c r="BE35" s="14">
        <f>BD35*VLOOKUP('Données projet'!$B$11,Paramètres!$A$1:$I$89,3,0)*VLOOKUP('Données projet'!$B$11,Paramètres!$A$1:$I$89,5,0)</f>
        <v>70.202879999999965</v>
      </c>
      <c r="BF35" s="14">
        <f t="shared" si="37"/>
        <v>19.72383133643071</v>
      </c>
      <c r="BG35" s="22">
        <f t="shared" si="7"/>
        <v>156.62235557761673</v>
      </c>
      <c r="BH35" s="62">
        <f t="shared" si="8"/>
        <v>449.95568891095002</v>
      </c>
      <c r="BI35" s="62">
        <f ca="1">AVERAGE(OFFSET($BH$3,0,0,'Données projet'!$E$11+1,1))-AVERAGE(OFFSET($H$3,0,0,'Données projet'!$E$11+1,1))</f>
        <v>165.98015798223548</v>
      </c>
      <c r="BJ35" s="62">
        <f t="shared" si="38"/>
        <v>143.97979034100706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91.852800000000002</v>
      </c>
      <c r="CA35" s="14">
        <f t="shared" si="39"/>
        <v>25.011544404557082</v>
      </c>
      <c r="CB35" s="22">
        <f t="shared" si="10"/>
        <v>203.53873317127025</v>
      </c>
      <c r="CC35" s="62">
        <f t="shared" si="11"/>
        <v>496.87206650460359</v>
      </c>
      <c r="CD35" s="62">
        <f ca="1">AVERAGE(OFFSET($CC$3,0,0,'Données projet'!$E$12+1,1))-AVERAGE(OFFSET($H$3,0,0,'Données projet'!$E$12+1,1))</f>
        <v>335.16942824912076</v>
      </c>
      <c r="CE35" s="62">
        <f t="shared" si="40"/>
        <v>190.00559730122677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12.920000000000005</v>
      </c>
      <c r="N36" s="14">
        <f>IF('Données projet'!$A$36&gt;35,N35+M36-V35,IF(A36&lt;'Données projet'!$A$36,$K$205^A36,IF(A36='Données projet'!$A$36,'Données projet'!$B$36,N35+M36-V35)))</f>
        <v>193.62000000000006</v>
      </c>
      <c r="O36" s="14">
        <f>N36*VLOOKUP('Données projet'!$B$9,Paramètres!$A$1:$I$89,3,0)*VLOOKUP('Données projet'!$B$9,Paramètres!$A$1:$I$89,5,0)</f>
        <v>115.78476000000005</v>
      </c>
      <c r="P36" s="14">
        <f t="shared" si="33"/>
        <v>30.689827099731644</v>
      </c>
      <c r="Q36" s="22">
        <f t="shared" si="53"/>
        <v>255.10990586536604</v>
      </c>
      <c r="R36" s="62">
        <f t="shared" si="0"/>
        <v>548.4432391986993</v>
      </c>
      <c r="S36" s="62">
        <f ca="1">AVERAGE(OFFSET($R$3,0,0,'Données projet'!$E$9+1,1))-AVERAGE(OFFSET($H$3,0,0,'Données projet'!$E$9+1,1))</f>
        <v>152.63300189110146</v>
      </c>
      <c r="T36" s="62">
        <f t="shared" si="34"/>
        <v>236.66430374499453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12.717843089850149</v>
      </c>
      <c r="AA36" s="23">
        <f>EXP(-LN(2)/25)*AA35+(1-EXP(-LN(2)/25))/(LN(2)/25)*Calculateur!V36*Calculateur!X36*VLOOKUP('Données projet'!$B$9,Paramètres!$A$1:$I$89,3,0)*0.475*44/12</f>
        <v>9.0097748774423927</v>
      </c>
      <c r="AB36" s="23">
        <f>EXP(-LN(2)/2)*AB35+(1-EXP(-LN(2)/2))/(LN(2)/2)*V36*Y36*VLOOKUP('Données projet'!$B$9,Paramètres!$A$1:$I$89,3,0)*0.475*44/12</f>
        <v>1.0348554712079436</v>
      </c>
      <c r="AC36" s="24">
        <f t="shared" si="3"/>
        <v>22.762473438500486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2.8746666666666658</v>
      </c>
      <c r="AI36" s="14">
        <f>IF('Données projet'!$A$62&gt;35,AI35+AH36-AQ35,IF(A36&lt;'Données projet'!$A$62,$AF$205^A36,IF(A36='Données projet'!$A$62,'Données projet'!$B$62,AI35+AH36-AQ35)))</f>
        <v>132.28633333333335</v>
      </c>
      <c r="AJ36" s="14">
        <f>AI36*VLOOKUP('Données projet'!$B$10,Paramètres!$A$1:$I$89,3,0)*VLOOKUP('Données projet'!$B$10,Paramètres!$A$1:$I$89,5,0)</f>
        <v>144.45667600000002</v>
      </c>
      <c r="AK36" s="14">
        <f t="shared" si="35"/>
        <v>37.316097881461253</v>
      </c>
      <c r="AL36" s="22">
        <f t="shared" si="4"/>
        <v>316.58758117687836</v>
      </c>
      <c r="AM36" s="62">
        <f t="shared" si="5"/>
        <v>609.92091451021167</v>
      </c>
      <c r="AN36" s="62">
        <f ca="1">AVERAGE(OFFSET($AM$3,0,0,'Données projet'!$E$10+1,1))-AVERAGE(OFFSET($H$3,0,0,'Données projet'!$E$10+1,1))</f>
        <v>886.54265074144564</v>
      </c>
      <c r="AO36" s="62">
        <f t="shared" si="36"/>
        <v>254.8922423500004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2.87</v>
      </c>
      <c r="BD36" s="13">
        <f>IF('Données projet'!$A$88&gt;35,BD35+BC36-BL35,IF(A36&lt;'Données projet'!$A$88,$BA$205^A36,IF(A36='Données projet'!$A$88,'Données projet'!$B$88,BD35+BC36-BL35)))</f>
        <v>63.809999999999974</v>
      </c>
      <c r="BE36" s="14">
        <f>BD36*VLOOKUP('Données projet'!$B$11,Paramètres!$A$1:$I$89,3,0)*VLOOKUP('Données projet'!$B$11,Paramètres!$A$1:$I$89,5,0)</f>
        <v>73.509119999999967</v>
      </c>
      <c r="BF36" s="14">
        <f t="shared" si="37"/>
        <v>20.542399461981251</v>
      </c>
      <c r="BG36" s="22">
        <f t="shared" si="7"/>
        <v>163.80639639628396</v>
      </c>
      <c r="BH36" s="62">
        <f t="shared" si="8"/>
        <v>457.13972972961727</v>
      </c>
      <c r="BI36" s="62">
        <f ca="1">AVERAGE(OFFSET($BH$3,0,0,'Données projet'!$E$11+1,1))-AVERAGE(OFFSET($H$3,0,0,'Données projet'!$E$11+1,1))</f>
        <v>165.98015798223548</v>
      </c>
      <c r="BJ36" s="62">
        <f t="shared" si="38"/>
        <v>143.97979034100706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99.84</v>
      </c>
      <c r="CA36" s="14">
        <f t="shared" si="39"/>
        <v>26.923876203052867</v>
      </c>
      <c r="CB36" s="22">
        <f t="shared" si="10"/>
        <v>220.7804177203171</v>
      </c>
      <c r="CC36" s="62">
        <f t="shared" si="11"/>
        <v>514.11375105365039</v>
      </c>
      <c r="CD36" s="62">
        <f ca="1">AVERAGE(OFFSET($CC$3,0,0,'Données projet'!$E$12+1,1))-AVERAGE(OFFSET($H$3,0,0,'Données projet'!$E$12+1,1))</f>
        <v>335.16942824912076</v>
      </c>
      <c r="CE36" s="62">
        <f t="shared" si="40"/>
        <v>190.00559730122677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12.920000000000005</v>
      </c>
      <c r="N37" s="14">
        <f>IF('Données projet'!$A$36&gt;35,N36+M37-V36,IF(A37&lt;'Données projet'!$A$36,$K$205^A37,IF(A37='Données projet'!$A$36,'Données projet'!$B$36,N36+M37-V36)))</f>
        <v>206.54000000000008</v>
      </c>
      <c r="O37" s="14">
        <f>N37*VLOOKUP('Données projet'!$B$9,Paramètres!$A$1:$I$89,3,0)*VLOOKUP('Données projet'!$B$9,Paramètres!$A$1:$I$89,5,0)</f>
        <v>123.51092000000006</v>
      </c>
      <c r="P37" s="14">
        <f t="shared" si="33"/>
        <v>32.492484319652881</v>
      </c>
      <c r="Q37" s="22">
        <f t="shared" si="53"/>
        <v>271.70592919006214</v>
      </c>
      <c r="R37" s="62">
        <f t="shared" si="0"/>
        <v>565.03926252339545</v>
      </c>
      <c r="S37" s="62">
        <f ca="1">AVERAGE(OFFSET($R$3,0,0,'Données projet'!$E$9+1,1))-AVERAGE(OFFSET($H$3,0,0,'Données projet'!$E$9+1,1))</f>
        <v>152.63300189110146</v>
      </c>
      <c r="T37" s="62">
        <f t="shared" si="34"/>
        <v>236.66430374499453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12.46845394397652</v>
      </c>
      <c r="AA37" s="23">
        <f>EXP(-LN(2)/25)*AA36+(1-EXP(-LN(2)/25))/(LN(2)/25)*Calculateur!V37*Calculateur!X37*VLOOKUP('Données projet'!$B$9,Paramètres!$A$1:$I$89,3,0)*0.475*44/12</f>
        <v>8.7634021096152619</v>
      </c>
      <c r="AB37" s="23">
        <f>EXP(-LN(2)/2)*AB36+(1-EXP(-LN(2)/2))/(LN(2)/2)*V37*Y37*VLOOKUP('Données projet'!$B$9,Paramètres!$A$1:$I$89,3,0)*0.475*44/12</f>
        <v>0.73175332123913694</v>
      </c>
      <c r="AC37" s="24">
        <f t="shared" si="3"/>
        <v>21.96360937483092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2.8746666666666658</v>
      </c>
      <c r="AI37" s="14">
        <f>IF('Données projet'!$A$62&gt;35,AI36+AH37-AQ36,IF(A37&lt;'Données projet'!$A$62,$AF$205^A37,IF(A37='Données projet'!$A$62,'Données projet'!$B$62,AI36+AH37-AQ36)))</f>
        <v>135.161</v>
      </c>
      <c r="AJ37" s="14">
        <f>AI37*VLOOKUP('Données projet'!$B$10,Paramètres!$A$1:$I$89,3,0)*VLOOKUP('Données projet'!$B$10,Paramètres!$A$1:$I$89,5,0)</f>
        <v>147.595812</v>
      </c>
      <c r="AK37" s="14">
        <f t="shared" si="35"/>
        <v>38.031712546279238</v>
      </c>
      <c r="AL37" s="22">
        <f t="shared" si="4"/>
        <v>323.301271918103</v>
      </c>
      <c r="AM37" s="62">
        <f t="shared" si="5"/>
        <v>616.63460525143637</v>
      </c>
      <c r="AN37" s="62">
        <f ca="1">AVERAGE(OFFSET($AM$3,0,0,'Données projet'!$E$10+1,1))-AVERAGE(OFFSET($H$3,0,0,'Données projet'!$E$10+1,1))</f>
        <v>886.54265074144564</v>
      </c>
      <c r="AO37" s="62">
        <f t="shared" si="36"/>
        <v>254.8922423500004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2.87</v>
      </c>
      <c r="BD37" s="13">
        <f>IF('Données projet'!$A$88&gt;35,BD36+BC37-BL36,IF(A37&lt;'Données projet'!$A$88,$BA$205^A37,IF(A37='Données projet'!$A$88,'Données projet'!$B$88,BD36+BC37-BL36)))</f>
        <v>66.679999999999978</v>
      </c>
      <c r="BE37" s="14">
        <f>BD37*VLOOKUP('Données projet'!$B$11,Paramètres!$A$1:$I$89,3,0)*VLOOKUP('Données projet'!$B$11,Paramètres!$A$1:$I$89,5,0)</f>
        <v>76.815359999999956</v>
      </c>
      <c r="BF37" s="14">
        <f t="shared" si="37"/>
        <v>21.356691769035756</v>
      </c>
      <c r="BG37" s="22">
        <f t="shared" si="7"/>
        <v>170.98299016440384</v>
      </c>
      <c r="BH37" s="62">
        <f t="shared" si="8"/>
        <v>464.31632349773713</v>
      </c>
      <c r="BI37" s="62">
        <f ca="1">AVERAGE(OFFSET($BH$3,0,0,'Données projet'!$E$11+1,1))-AVERAGE(OFFSET($H$3,0,0,'Données projet'!$E$11+1,1))</f>
        <v>165.98015798223548</v>
      </c>
      <c r="BJ37" s="62">
        <f t="shared" si="38"/>
        <v>143.97979034100706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107.8272</v>
      </c>
      <c r="CA37" s="14">
        <f t="shared" si="39"/>
        <v>28.818463055965484</v>
      </c>
      <c r="CB37" s="22">
        <f t="shared" si="10"/>
        <v>237.99119648913987</v>
      </c>
      <c r="CC37" s="62">
        <f t="shared" si="11"/>
        <v>531.32452982247321</v>
      </c>
      <c r="CD37" s="62">
        <f ca="1">AVERAGE(OFFSET($CC$3,0,0,'Données projet'!$E$12+1,1))-AVERAGE(OFFSET($H$3,0,0,'Données projet'!$E$12+1,1))</f>
        <v>335.16942824912076</v>
      </c>
      <c r="CE37" s="62">
        <f t="shared" si="40"/>
        <v>190.00559730122677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12.920000000000005</v>
      </c>
      <c r="N38" s="14">
        <f>IF('Données projet'!$A$36&gt;35,N37+M38-V37,IF(A38&lt;'Données projet'!$A$36,$K$205^A38,IF(A38='Données projet'!$A$36,'Données projet'!$B$36,N37+M38-V37)))</f>
        <v>219.46000000000009</v>
      </c>
      <c r="O38" s="14">
        <f>N38*VLOOKUP('Données projet'!$B$9,Paramètres!$A$1:$I$89,3,0)*VLOOKUP('Données projet'!$B$9,Paramètres!$A$1:$I$89,5,0)</f>
        <v>131.23708000000005</v>
      </c>
      <c r="P38" s="14">
        <f t="shared" si="33"/>
        <v>34.282054442370622</v>
      </c>
      <c r="Q38" s="22">
        <f t="shared" si="53"/>
        <v>288.27915915379555</v>
      </c>
      <c r="R38" s="62">
        <f t="shared" si="0"/>
        <v>581.61249248712886</v>
      </c>
      <c r="S38" s="62">
        <f ca="1">AVERAGE(OFFSET($R$3,0,0,'Données projet'!$E$9+1,1))-AVERAGE(OFFSET($H$3,0,0,'Données projet'!$E$9+1,1))</f>
        <v>152.63300189110146</v>
      </c>
      <c r="T38" s="62">
        <f t="shared" si="34"/>
        <v>236.66430374499453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12.223955167141115</v>
      </c>
      <c r="AA38" s="23">
        <f>EXP(-LN(2)/25)*AA37+(1-EXP(-LN(2)/25))/(LN(2)/25)*Calculateur!V38*Calculateur!X38*VLOOKUP('Données projet'!$B$9,Paramètres!$A$1:$I$89,3,0)*0.475*44/12</f>
        <v>8.5237664180805446</v>
      </c>
      <c r="AB38" s="23">
        <f>EXP(-LN(2)/2)*AB37+(1-EXP(-LN(2)/2))/(LN(2)/2)*V38*Y38*VLOOKUP('Données projet'!$B$9,Paramètres!$A$1:$I$89,3,0)*0.475*44/12</f>
        <v>0.51742773560397182</v>
      </c>
      <c r="AC38" s="24">
        <f t="shared" si="3"/>
        <v>21.265149320825632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2.8746666666666658</v>
      </c>
      <c r="AI38" s="14">
        <f>IF('Données projet'!$A$62&gt;35,AI37+AH38-AQ37,IF(A38&lt;'Données projet'!$A$62,$AF$205^A38,IF(A38='Données projet'!$A$62,'Données projet'!$B$62,AI37+AH38-AQ37)))</f>
        <v>138.03566666666666</v>
      </c>
      <c r="AJ38" s="14">
        <f>AI38*VLOOKUP('Données projet'!$B$10,Paramètres!$A$1:$I$89,3,0)*VLOOKUP('Données projet'!$B$10,Paramètres!$A$1:$I$89,5,0)</f>
        <v>150.73494799999997</v>
      </c>
      <c r="AK38" s="14">
        <f t="shared" si="35"/>
        <v>38.745557650458807</v>
      </c>
      <c r="AL38" s="22">
        <f t="shared" si="4"/>
        <v>330.01188067454905</v>
      </c>
      <c r="AM38" s="62">
        <f t="shared" si="5"/>
        <v>623.3452140078823</v>
      </c>
      <c r="AN38" s="62">
        <f ca="1">AVERAGE(OFFSET($AM$3,0,0,'Données projet'!$E$10+1,1))-AVERAGE(OFFSET($H$3,0,0,'Données projet'!$E$10+1,1))</f>
        <v>886.54265074144564</v>
      </c>
      <c r="AO38" s="62">
        <f t="shared" si="36"/>
        <v>254.8922423500004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2.87</v>
      </c>
      <c r="BD38" s="13">
        <f>IF('Données projet'!$A$88&gt;35,BD37+BC38-BL37,IF(A38&lt;'Données projet'!$A$88,$BA$205^A38,IF(A38='Données projet'!$A$88,'Données projet'!$B$88,BD37+BC38-BL37)))</f>
        <v>69.549999999999983</v>
      </c>
      <c r="BE38" s="14">
        <f>BD38*VLOOKUP('Données projet'!$B$11,Paramètres!$A$1:$I$89,3,0)*VLOOKUP('Données projet'!$B$11,Paramètres!$A$1:$I$89,5,0)</f>
        <v>80.121599999999987</v>
      </c>
      <c r="BF38" s="14">
        <f t="shared" si="37"/>
        <v>22.166913332113143</v>
      </c>
      <c r="BG38" s="22">
        <f t="shared" si="7"/>
        <v>178.15249405343036</v>
      </c>
      <c r="BH38" s="62">
        <f t="shared" si="8"/>
        <v>471.48582738676367</v>
      </c>
      <c r="BI38" s="62">
        <f ca="1">AVERAGE(OFFSET($BH$3,0,0,'Données projet'!$E$11+1,1))-AVERAGE(OFFSET($H$3,0,0,'Données projet'!$E$11+1,1))</f>
        <v>165.98015798223548</v>
      </c>
      <c r="BJ38" s="62">
        <f t="shared" si="38"/>
        <v>143.97979034100706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115.81439999999999</v>
      </c>
      <c r="CA38" s="14">
        <f t="shared" si="39"/>
        <v>30.696768873861398</v>
      </c>
      <c r="CB38" s="22">
        <f t="shared" si="10"/>
        <v>255.17361912197524</v>
      </c>
      <c r="CC38" s="62">
        <f t="shared" si="11"/>
        <v>548.50695245530858</v>
      </c>
      <c r="CD38" s="62">
        <f ca="1">AVERAGE(OFFSET($CC$3,0,0,'Données projet'!$E$12+1,1))-AVERAGE(OFFSET($H$3,0,0,'Données projet'!$E$12+1,1))</f>
        <v>335.16942824912076</v>
      </c>
      <c r="CE38" s="62">
        <f t="shared" si="40"/>
        <v>190.00559730122677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12.920000000000005</v>
      </c>
      <c r="N39" s="14">
        <f>IF('Données projet'!$A$36&gt;35,N38+M39-V38,IF(A39&lt;'Données projet'!$A$36,$K$205^A39,IF(A39='Données projet'!$A$36,'Données projet'!$B$36,N38+M39-V38)))</f>
        <v>232.38000000000011</v>
      </c>
      <c r="O39" s="14">
        <f>N39*VLOOKUP('Données projet'!$B$9,Paramètres!$A$1:$I$89,3,0)*VLOOKUP('Données projet'!$B$9,Paramètres!$A$1:$I$89,5,0)</f>
        <v>138.96324000000007</v>
      </c>
      <c r="P39" s="14">
        <f t="shared" si="33"/>
        <v>36.059395689841629</v>
      </c>
      <c r="Q39" s="22">
        <f t="shared" si="53"/>
        <v>304.83109049314095</v>
      </c>
      <c r="R39" s="62">
        <f t="shared" si="0"/>
        <v>598.16442382647426</v>
      </c>
      <c r="S39" s="62">
        <f ca="1">AVERAGE(OFFSET($R$3,0,0,'Données projet'!$E$9+1,1))-AVERAGE(OFFSET($H$3,0,0,'Données projet'!$E$9+1,1))</f>
        <v>152.63300189110146</v>
      </c>
      <c r="T39" s="62">
        <f t="shared" si="34"/>
        <v>236.66430374499453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11.984250862189924</v>
      </c>
      <c r="AA39" s="23">
        <f>EXP(-LN(2)/25)*AA38+(1-EXP(-LN(2)/25))/(LN(2)/25)*Calculateur!V39*Calculateur!X39*VLOOKUP('Données projet'!$B$9,Paramètres!$A$1:$I$89,3,0)*0.475*44/12</f>
        <v>8.2906835771327376</v>
      </c>
      <c r="AB39" s="23">
        <f>EXP(-LN(2)/2)*AB38+(1-EXP(-LN(2)/2))/(LN(2)/2)*V39*Y39*VLOOKUP('Données projet'!$B$9,Paramètres!$A$1:$I$89,3,0)*0.475*44/12</f>
        <v>0.36587666061956847</v>
      </c>
      <c r="AC39" s="24">
        <f t="shared" si="3"/>
        <v>20.640811099942233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2.8746666666666658</v>
      </c>
      <c r="AI39" s="14">
        <f>IF('Données projet'!$A$62&gt;35,AI38+AH39-AQ38,IF(A39&lt;'Données projet'!$A$62,$AF$205^A39,IF(A39='Données projet'!$A$62,'Données projet'!$B$62,AI38+AH39-AQ38)))</f>
        <v>140.91033333333331</v>
      </c>
      <c r="AJ39" s="14">
        <f>AI39*VLOOKUP('Données projet'!$B$10,Paramètres!$A$1:$I$89,3,0)*VLOOKUP('Données projet'!$B$10,Paramètres!$A$1:$I$89,5,0)</f>
        <v>153.87408399999998</v>
      </c>
      <c r="AK39" s="14">
        <f t="shared" si="35"/>
        <v>39.457674291798781</v>
      </c>
      <c r="AL39" s="22">
        <f t="shared" si="4"/>
        <v>336.71947902488284</v>
      </c>
      <c r="AM39" s="62">
        <f t="shared" si="5"/>
        <v>630.05281235821622</v>
      </c>
      <c r="AN39" s="62">
        <f ca="1">AVERAGE(OFFSET($AM$3,0,0,'Données projet'!$E$10+1,1))-AVERAGE(OFFSET($H$3,0,0,'Données projet'!$E$10+1,1))</f>
        <v>886.54265074144564</v>
      </c>
      <c r="AO39" s="62">
        <f t="shared" si="36"/>
        <v>254.8922423500004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2.87</v>
      </c>
      <c r="BD39" s="13">
        <f>IF('Données projet'!$A$88&gt;35,BD38+BC39-BL38,IF(A39&lt;'Données projet'!$A$88,$BA$205^A39,IF(A39='Données projet'!$A$88,'Données projet'!$B$88,BD38+BC39-BL38)))</f>
        <v>72.419999999999987</v>
      </c>
      <c r="BE39" s="14">
        <f>BD39*VLOOKUP('Données projet'!$B$11,Paramètres!$A$1:$I$89,3,0)*VLOOKUP('Données projet'!$B$11,Paramètres!$A$1:$I$89,5,0)</f>
        <v>83.427839999999989</v>
      </c>
      <c r="BF39" s="14">
        <f t="shared" si="37"/>
        <v>22.973251343169959</v>
      </c>
      <c r="BG39" s="22">
        <f t="shared" si="7"/>
        <v>185.31523408935433</v>
      </c>
      <c r="BH39" s="62">
        <f t="shared" si="8"/>
        <v>478.64856742268762</v>
      </c>
      <c r="BI39" s="62">
        <f ca="1">AVERAGE(OFFSET($BH$3,0,0,'Données projet'!$E$11+1,1))-AVERAGE(OFFSET($H$3,0,0,'Données projet'!$E$11+1,1))</f>
        <v>165.98015798223548</v>
      </c>
      <c r="BJ39" s="62">
        <f t="shared" si="38"/>
        <v>143.97979034100706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124.20096000000001</v>
      </c>
      <c r="CA39" s="14">
        <f t="shared" si="39"/>
        <v>32.65283344355251</v>
      </c>
      <c r="CB39" s="22">
        <f t="shared" si="10"/>
        <v>273.18702358085392</v>
      </c>
      <c r="CC39" s="62">
        <f t="shared" si="11"/>
        <v>566.52035691418723</v>
      </c>
      <c r="CD39" s="62">
        <f ca="1">AVERAGE(OFFSET($CC$3,0,0,'Données projet'!$E$12+1,1))-AVERAGE(OFFSET($H$3,0,0,'Données projet'!$E$12+1,1))</f>
        <v>335.16942824912076</v>
      </c>
      <c r="CE39" s="62">
        <f t="shared" si="40"/>
        <v>190.00559730122677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245.3</v>
      </c>
      <c r="L40" s="13">
        <f>VLOOKUP(A40,'Données projet'!$A$35:$I$55,9,0)</f>
        <v>12.920000000000005</v>
      </c>
      <c r="M40" s="13">
        <f t="array" ref="M40">INDEX(L:L,MIN(IF(ISNUMBER(L40:L236),ROW(L40:L236),"")))</f>
        <v>12.920000000000005</v>
      </c>
      <c r="N40" s="14">
        <f>IF('Données projet'!$A$36&gt;35,N39+M40-V39,IF(A40&lt;'Données projet'!$A$36,$K$205^A40,IF(A40='Données projet'!$A$36,'Données projet'!$B$36,N39+M40-V39)))</f>
        <v>245.30000000000013</v>
      </c>
      <c r="O40" s="14">
        <f>N40*VLOOKUP('Données projet'!$B$9,Paramètres!$A$1:$I$89,3,0)*VLOOKUP('Données projet'!$B$9,Paramètres!$A$1:$I$89,5,0)</f>
        <v>146.68940000000009</v>
      </c>
      <c r="P40" s="14">
        <f t="shared" si="33"/>
        <v>37.825265462266344</v>
      </c>
      <c r="Q40" s="22">
        <f t="shared" si="53"/>
        <v>321.36304234678073</v>
      </c>
      <c r="R40" s="62">
        <f t="shared" si="0"/>
        <v>614.69637568011399</v>
      </c>
      <c r="S40" s="62">
        <f ca="1">AVERAGE(OFFSET($R$3,0,0,'Données projet'!$E$9+1,1))-AVERAGE(OFFSET($H$3,0,0,'Données projet'!$E$9+1,1))</f>
        <v>152.63300189110146</v>
      </c>
      <c r="T40" s="62">
        <f t="shared" si="34"/>
        <v>236.66430374499453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11.749247012453635</v>
      </c>
      <c r="AA40" s="23">
        <f>EXP(-LN(2)/25)*AA39+(1-EXP(-LN(2)/25))/(LN(2)/25)*Calculateur!V40*Calculateur!X40*VLOOKUP('Données projet'!$B$9,Paramètres!$A$1:$I$89,3,0)*0.475*44/12</f>
        <v>8.0639743987279431</v>
      </c>
      <c r="AB40" s="23">
        <f>EXP(-LN(2)/2)*AB39+(1-EXP(-LN(2)/2))/(LN(2)/2)*V40*Y40*VLOOKUP('Données projet'!$B$9,Paramètres!$A$1:$I$89,3,0)*0.475*44/12</f>
        <v>0.25871386780198591</v>
      </c>
      <c r="AC40" s="24">
        <f t="shared" si="3"/>
        <v>20.071935278983567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2.8746666666666658</v>
      </c>
      <c r="AI40" s="14">
        <f>IF('Données projet'!$A$62&gt;35,AI39+AH40-AQ39,IF(A40&lt;'Données projet'!$A$62,$AF$205^A40,IF(A40='Données projet'!$A$62,'Données projet'!$B$62,AI39+AH40-AQ39)))</f>
        <v>143.78499999999997</v>
      </c>
      <c r="AJ40" s="14">
        <f>AI40*VLOOKUP('Données projet'!$B$10,Paramètres!$A$1:$I$89,3,0)*VLOOKUP('Données projet'!$B$10,Paramètres!$A$1:$I$89,5,0)</f>
        <v>157.01321999999996</v>
      </c>
      <c r="AK40" s="14">
        <f t="shared" si="35"/>
        <v>40.168101795395536</v>
      </c>
      <c r="AL40" s="22">
        <f t="shared" si="4"/>
        <v>343.42413546031383</v>
      </c>
      <c r="AM40" s="62">
        <f t="shared" si="5"/>
        <v>636.75746879364715</v>
      </c>
      <c r="AN40" s="62">
        <f ca="1">AVERAGE(OFFSET($AM$3,0,0,'Données projet'!$E$10+1,1))-AVERAGE(OFFSET($H$3,0,0,'Données projet'!$E$10+1,1))</f>
        <v>886.54265074144564</v>
      </c>
      <c r="AO40" s="62">
        <f t="shared" si="36"/>
        <v>254.8922423500004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2.87</v>
      </c>
      <c r="BD40" s="13">
        <f>IF('Données projet'!$A$88&gt;35,BD39+BC40-BL39,IF(A40&lt;'Données projet'!$A$88,$BA$205^A40,IF(A40='Données projet'!$A$88,'Données projet'!$B$88,BD39+BC40-BL39)))</f>
        <v>75.289999999999992</v>
      </c>
      <c r="BE40" s="14">
        <f>BD40*VLOOKUP('Données projet'!$B$11,Paramètres!$A$1:$I$89,3,0)*VLOOKUP('Données projet'!$B$11,Paramètres!$A$1:$I$89,5,0)</f>
        <v>86.734079999999992</v>
      </c>
      <c r="BF40" s="14">
        <f t="shared" si="37"/>
        <v>23.77587731744476</v>
      </c>
      <c r="BG40" s="22">
        <f t="shared" si="7"/>
        <v>192.47150899454962</v>
      </c>
      <c r="BH40" s="62">
        <f t="shared" si="8"/>
        <v>485.80484232788297</v>
      </c>
      <c r="BI40" s="62">
        <f ca="1">AVERAGE(OFFSET($BH$3,0,0,'Données projet'!$E$11+1,1))-AVERAGE(OFFSET($H$3,0,0,'Données projet'!$E$11+1,1))</f>
        <v>165.98015798223548</v>
      </c>
      <c r="BJ40" s="62">
        <f t="shared" si="38"/>
        <v>143.97979034100706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132.58752000000001</v>
      </c>
      <c r="CA40" s="14">
        <f t="shared" si="39"/>
        <v>34.593571694787713</v>
      </c>
      <c r="CB40" s="22">
        <f t="shared" si="10"/>
        <v>291.17373470175522</v>
      </c>
      <c r="CC40" s="62">
        <f t="shared" si="11"/>
        <v>584.50706803508854</v>
      </c>
      <c r="CD40" s="62">
        <f ca="1">AVERAGE(OFFSET($CC$3,0,0,'Données projet'!$E$12+1,1))-AVERAGE(OFFSET($H$3,0,0,'Données projet'!$E$12+1,1))</f>
        <v>335.16942824912076</v>
      </c>
      <c r="CE40" s="62">
        <f t="shared" si="40"/>
        <v>190.00559730122677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13.2</v>
      </c>
      <c r="N41" s="14">
        <f>IF('Données projet'!$A$36&gt;35,N40+M41-V40,IF(A41&lt;'Données projet'!$A$36,$K$205^A41,IF(A41='Données projet'!$A$36,'Données projet'!$B$36,N40+M41-V40)))</f>
        <v>258.50000000000011</v>
      </c>
      <c r="O41" s="14">
        <f>N41*VLOOKUP('Données projet'!$B$9,Paramètres!$A$1:$I$89,3,0)*VLOOKUP('Données projet'!$B$9,Paramètres!$A$1:$I$89,5,0)</f>
        <v>154.58300000000008</v>
      </c>
      <c r="P41" s="14">
        <f t="shared" si="33"/>
        <v>39.618257534260813</v>
      </c>
      <c r="Q41" s="22">
        <f t="shared" si="53"/>
        <v>338.23385687217097</v>
      </c>
      <c r="R41" s="62">
        <f t="shared" si="0"/>
        <v>631.56719020550429</v>
      </c>
      <c r="S41" s="62">
        <f ca="1">AVERAGE(OFFSET($R$3,0,0,'Données projet'!$E$9+1,1))-AVERAGE(OFFSET($H$3,0,0,'Données projet'!$E$9+1,1))</f>
        <v>152.63300189110146</v>
      </c>
      <c r="T41" s="62">
        <f t="shared" si="34"/>
        <v>236.66430374499453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11.51885144487248</v>
      </c>
      <c r="AA41" s="23">
        <f>EXP(-LN(2)/25)*AA40+(1-EXP(-LN(2)/25))/(LN(2)/25)*Calculateur!V41*Calculateur!X41*VLOOKUP('Données projet'!$B$9,Paramètres!$A$1:$I$89,3,0)*0.475*44/12</f>
        <v>7.8434645947287445</v>
      </c>
      <c r="AB41" s="23">
        <f>EXP(-LN(2)/2)*AB40+(1-EXP(-LN(2)/2))/(LN(2)/2)*V41*Y41*VLOOKUP('Données projet'!$B$9,Paramètres!$A$1:$I$89,3,0)*0.475*44/12</f>
        <v>0.18293833030978424</v>
      </c>
      <c r="AC41" s="24">
        <f t="shared" si="3"/>
        <v>19.54525436991101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2.8746666666666658</v>
      </c>
      <c r="AI41" s="14">
        <f>IF('Données projet'!$A$62&gt;35,AI40+AH41-AQ40,IF(A41&lt;'Données projet'!$A$62,$AF$205^A41,IF(A41='Données projet'!$A$62,'Données projet'!$B$62,AI40+AH41-AQ40)))</f>
        <v>146.65966666666662</v>
      </c>
      <c r="AJ41" s="14">
        <f>AI41*VLOOKUP('Données projet'!$B$10,Paramètres!$A$1:$I$89,3,0)*VLOOKUP('Données projet'!$B$10,Paramètres!$A$1:$I$89,5,0)</f>
        <v>160.15235599999997</v>
      </c>
      <c r="AK41" s="14">
        <f t="shared" si="35"/>
        <v>40.876877823993389</v>
      </c>
      <c r="AL41" s="22">
        <f t="shared" si="4"/>
        <v>350.12591557678843</v>
      </c>
      <c r="AM41" s="62">
        <f t="shared" si="5"/>
        <v>643.45924891012169</v>
      </c>
      <c r="AN41" s="62">
        <f ca="1">AVERAGE(OFFSET($AM$3,0,0,'Données projet'!$E$10+1,1))-AVERAGE(OFFSET($H$3,0,0,'Données projet'!$E$10+1,1))</f>
        <v>886.54265074144564</v>
      </c>
      <c r="AO41" s="62">
        <f t="shared" si="36"/>
        <v>254.8922423500004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2.87</v>
      </c>
      <c r="BD41" s="13">
        <f>IF('Données projet'!$A$88&gt;35,BD40+BC41-BL40,IF(A41&lt;'Données projet'!$A$88,$BA$205^A41,IF(A41='Données projet'!$A$88,'Données projet'!$B$88,BD40+BC41-BL40)))</f>
        <v>78.16</v>
      </c>
      <c r="BE41" s="14">
        <f>BD41*VLOOKUP('Données projet'!$B$11,Paramètres!$A$1:$I$89,3,0)*VLOOKUP('Données projet'!$B$11,Paramètres!$A$1:$I$89,5,0)</f>
        <v>90.040319999999994</v>
      </c>
      <c r="BF41" s="14">
        <f t="shared" si="37"/>
        <v>24.574948953502926</v>
      </c>
      <c r="BG41" s="22">
        <f t="shared" si="7"/>
        <v>199.62159342735092</v>
      </c>
      <c r="BH41" s="62">
        <f t="shared" si="8"/>
        <v>492.9549267606842</v>
      </c>
      <c r="BI41" s="62">
        <f ca="1">AVERAGE(OFFSET($BH$3,0,0,'Données projet'!$E$11+1,1))-AVERAGE(OFFSET($H$3,0,0,'Données projet'!$E$11+1,1))</f>
        <v>165.98015798223548</v>
      </c>
      <c r="BJ41" s="62">
        <f t="shared" si="38"/>
        <v>143.97979034100706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140.97408000000001</v>
      </c>
      <c r="CA41" s="14">
        <f t="shared" si="39"/>
        <v>36.520063416291229</v>
      </c>
      <c r="CB41" s="22">
        <f t="shared" si="10"/>
        <v>309.13563311670725</v>
      </c>
      <c r="CC41" s="62">
        <f t="shared" si="11"/>
        <v>602.46896645004063</v>
      </c>
      <c r="CD41" s="62">
        <f ca="1">AVERAGE(OFFSET($CC$3,0,0,'Données projet'!$E$12+1,1))-AVERAGE(OFFSET($H$3,0,0,'Données projet'!$E$12+1,1))</f>
        <v>335.16942824912076</v>
      </c>
      <c r="CE41" s="62">
        <f t="shared" si="40"/>
        <v>190.00559730122677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13.2</v>
      </c>
      <c r="N42" s="14">
        <f>IF('Données projet'!$A$36&gt;35,N41+M42-V41,IF(A42&lt;'Données projet'!$A$36,$K$205^A42,IF(A42='Données projet'!$A$36,'Données projet'!$B$36,N41+M42-V41)))</f>
        <v>271.7000000000001</v>
      </c>
      <c r="O42" s="14">
        <f>N42*VLOOKUP('Données projet'!$B$9,Paramètres!$A$1:$I$89,3,0)*VLOOKUP('Données projet'!$B$9,Paramètres!$A$1:$I$89,5,0)</f>
        <v>162.47660000000008</v>
      </c>
      <c r="P42" s="14">
        <f t="shared" si="33"/>
        <v>41.400619099006676</v>
      </c>
      <c r="Q42" s="22">
        <f t="shared" si="53"/>
        <v>355.08615659743674</v>
      </c>
      <c r="R42" s="62">
        <f t="shared" si="0"/>
        <v>648.41948993077006</v>
      </c>
      <c r="S42" s="62">
        <f ca="1">AVERAGE(OFFSET($R$3,0,0,'Données projet'!$E$9+1,1))-AVERAGE(OFFSET($H$3,0,0,'Données projet'!$E$9+1,1))</f>
        <v>152.63300189110146</v>
      </c>
      <c r="T42" s="62">
        <f t="shared" si="34"/>
        <v>236.66430374499453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11.292973793844171</v>
      </c>
      <c r="AA42" s="23">
        <f>EXP(-LN(2)/25)*AA41+(1-EXP(-LN(2)/25))/(LN(2)/25)*Calculateur!V42*Calculateur!X42*VLOOKUP('Données projet'!$B$9,Paramètres!$A$1:$I$89,3,0)*0.475*44/12</f>
        <v>7.6289846429160102</v>
      </c>
      <c r="AB42" s="23">
        <f>EXP(-LN(2)/2)*AB41+(1-EXP(-LN(2)/2))/(LN(2)/2)*V42*Y42*VLOOKUP('Données projet'!$B$9,Paramètres!$A$1:$I$89,3,0)*0.475*44/12</f>
        <v>0.12935693390099295</v>
      </c>
      <c r="AC42" s="24">
        <f t="shared" si="3"/>
        <v>19.051315370661175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2.8746666666666658</v>
      </c>
      <c r="AI42" s="14">
        <f>IF('Données projet'!$A$62&gt;35,AI41+AH42-AQ41,IF(A42&lt;'Données projet'!$A$62,$AF$205^A42,IF(A42='Données projet'!$A$62,'Données projet'!$B$62,AI41+AH42-AQ41)))</f>
        <v>149.53433333333328</v>
      </c>
      <c r="AJ42" s="14">
        <f>AI42*VLOOKUP('Données projet'!$B$10,Paramètres!$A$1:$I$89,3,0)*VLOOKUP('Données projet'!$B$10,Paramètres!$A$1:$I$89,5,0)</f>
        <v>163.29149199999992</v>
      </c>
      <c r="AK42" s="14">
        <f t="shared" si="35"/>
        <v>41.584038479438654</v>
      </c>
      <c r="AL42" s="22">
        <f t="shared" si="4"/>
        <v>356.82488225168885</v>
      </c>
      <c r="AM42" s="62">
        <f t="shared" si="5"/>
        <v>650.15821558502216</v>
      </c>
      <c r="AN42" s="62">
        <f ca="1">AVERAGE(OFFSET($AM$3,0,0,'Données projet'!$E$10+1,1))-AVERAGE(OFFSET($H$3,0,0,'Données projet'!$E$10+1,1))</f>
        <v>886.54265074144564</v>
      </c>
      <c r="AO42" s="62">
        <f t="shared" si="36"/>
        <v>254.8922423500004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2.87</v>
      </c>
      <c r="BD42" s="13">
        <f>IF('Données projet'!$A$88&gt;35,BD41+BC42-BL41,IF(A42&lt;'Données projet'!$A$88,$BA$205^A42,IF(A42='Données projet'!$A$88,'Données projet'!$B$88,BD41+BC42-BL41)))</f>
        <v>81.03</v>
      </c>
      <c r="BE42" s="14">
        <f>BD42*VLOOKUP('Données projet'!$B$11,Paramètres!$A$1:$I$89,3,0)*VLOOKUP('Données projet'!$B$11,Paramètres!$A$1:$I$89,5,0)</f>
        <v>93.346559999999997</v>
      </c>
      <c r="BF42" s="14">
        <f t="shared" si="37"/>
        <v>25.37061171240196</v>
      </c>
      <c r="BG42" s="22">
        <f t="shared" si="7"/>
        <v>206.76574073243341</v>
      </c>
      <c r="BH42" s="62">
        <f t="shared" si="8"/>
        <v>500.09907406576673</v>
      </c>
      <c r="BI42" s="62">
        <f ca="1">AVERAGE(OFFSET($BH$3,0,0,'Données projet'!$E$11+1,1))-AVERAGE(OFFSET($H$3,0,0,'Données projet'!$E$11+1,1))</f>
        <v>165.98015798223548</v>
      </c>
      <c r="BJ42" s="62">
        <f t="shared" si="38"/>
        <v>143.97979034100706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149.36064000000002</v>
      </c>
      <c r="CA42" s="14">
        <f t="shared" si="39"/>
        <v>38.433252665260959</v>
      </c>
      <c r="CB42" s="22">
        <f t="shared" si="10"/>
        <v>327.07436305866287</v>
      </c>
      <c r="CC42" s="62">
        <f t="shared" si="11"/>
        <v>620.40769639199618</v>
      </c>
      <c r="CD42" s="62">
        <f ca="1">AVERAGE(OFFSET($CC$3,0,0,'Données projet'!$E$12+1,1))-AVERAGE(OFFSET($H$3,0,0,'Données projet'!$E$12+1,1))</f>
        <v>335.16942824912076</v>
      </c>
      <c r="CE42" s="62">
        <f t="shared" si="40"/>
        <v>190.00559730122677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13.2</v>
      </c>
      <c r="N43" s="14">
        <f>IF('Données projet'!$A$36&gt;35,N42+M43-V42,IF(A43&lt;'Données projet'!$A$36,$K$205^A43,IF(A43='Données projet'!$A$36,'Données projet'!$B$36,N42+M43-V42)))</f>
        <v>284.90000000000009</v>
      </c>
      <c r="O43" s="14">
        <f>N43*VLOOKUP('Données projet'!$B$9,Paramètres!$A$1:$I$89,3,0)*VLOOKUP('Données projet'!$B$9,Paramètres!$A$1:$I$89,5,0)</f>
        <v>170.3702000000001</v>
      </c>
      <c r="P43" s="14">
        <f t="shared" si="33"/>
        <v>43.172925570625068</v>
      </c>
      <c r="Q43" s="22">
        <f t="shared" si="53"/>
        <v>371.92094370217211</v>
      </c>
      <c r="R43" s="62">
        <f t="shared" si="0"/>
        <v>665.25427703550542</v>
      </c>
      <c r="S43" s="62">
        <f ca="1">AVERAGE(OFFSET($R$3,0,0,'Données projet'!$E$9+1,1))-AVERAGE(OFFSET($H$3,0,0,'Données projet'!$E$9+1,1))</f>
        <v>152.63300189110146</v>
      </c>
      <c r="T43" s="62">
        <f t="shared" si="34"/>
        <v>236.66430374499453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11.071525465780764</v>
      </c>
      <c r="AA43" s="23">
        <f>EXP(-LN(2)/25)*AA42+(1-EXP(-LN(2)/25))/(LN(2)/25)*Calculateur!V43*Calculateur!X43*VLOOKUP('Données projet'!$B$9,Paramètres!$A$1:$I$89,3,0)*0.475*44/12</f>
        <v>7.4203696566646062</v>
      </c>
      <c r="AB43" s="23">
        <f>EXP(-LN(2)/2)*AB42+(1-EXP(-LN(2)/2))/(LN(2)/2)*V43*Y43*VLOOKUP('Données projet'!$B$9,Paramètres!$A$1:$I$89,3,0)*0.475*44/12</f>
        <v>9.1469165154892118E-2</v>
      </c>
      <c r="AC43" s="24">
        <f t="shared" si="3"/>
        <v>18.583364287600261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152.40899999999999</v>
      </c>
      <c r="AG43" s="13">
        <f>VLOOKUP(A43,'Données projet'!$A$61:$I$81,9,0)</f>
        <v>2.8746666666666658</v>
      </c>
      <c r="AH43" s="13">
        <f t="array" ref="AH43">INDEX(AG:AG,MIN(IF(ISNUMBER(AG43:AG239),ROW(AG43:AG239),"")))</f>
        <v>2.8746666666666658</v>
      </c>
      <c r="AI43" s="14">
        <f>IF('Données projet'!$A$62&gt;35,AI42+AH43-AQ42,IF(A43&lt;'Données projet'!$A$62,$AF$205^A43,IF(A43='Données projet'!$A$62,'Données projet'!$B$62,AI42+AH43-AQ42)))</f>
        <v>152.40899999999993</v>
      </c>
      <c r="AJ43" s="14">
        <f>AI43*VLOOKUP('Données projet'!$B$10,Paramètres!$A$1:$I$89,3,0)*VLOOKUP('Données projet'!$B$10,Paramètres!$A$1:$I$89,5,0)</f>
        <v>166.43062799999993</v>
      </c>
      <c r="AK43" s="14">
        <f t="shared" si="35"/>
        <v>42.289618396111237</v>
      </c>
      <c r="AL43" s="22">
        <f t="shared" si="4"/>
        <v>363.52109580656025</v>
      </c>
      <c r="AM43" s="62">
        <f t="shared" si="5"/>
        <v>656.85442913989357</v>
      </c>
      <c r="AN43" s="62">
        <f ca="1">AVERAGE(OFFSET($AM$3,0,0,'Données projet'!$E$10+1,1))-AVERAGE(OFFSET($H$3,0,0,'Données projet'!$E$10+1,1))</f>
        <v>886.54265074144564</v>
      </c>
      <c r="AO43" s="62">
        <f t="shared" si="36"/>
        <v>254.8922423500004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16.934000000000001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83.9</v>
      </c>
      <c r="BB43" s="13">
        <f>VLOOKUP(A43,'Données projet'!$A$87:$I$107,9,0)</f>
        <v>2.87</v>
      </c>
      <c r="BC43" s="13">
        <f t="array" ref="BC43">INDEX(BB:BB,MIN(IF(ISNUMBER(BB43:BB239),ROW(BB43:BB239),"")))</f>
        <v>2.87</v>
      </c>
      <c r="BD43" s="13">
        <f>IF('Données projet'!$A$88&gt;35,BD42+BC43-BL42,IF(A43&lt;'Données projet'!$A$88,$BA$205^A43,IF(A43='Données projet'!$A$88,'Données projet'!$B$88,BD42+BC43-BL42)))</f>
        <v>83.9</v>
      </c>
      <c r="BE43" s="14">
        <f>BD43*VLOOKUP('Données projet'!$B$11,Paramètres!$A$1:$I$89,3,0)*VLOOKUP('Données projet'!$B$11,Paramètres!$A$1:$I$89,5,0)</f>
        <v>96.652799999999999</v>
      </c>
      <c r="BF43" s="14">
        <f t="shared" si="37"/>
        <v>26.16300016684059</v>
      </c>
      <c r="BG43" s="22">
        <f t="shared" si="7"/>
        <v>213.90418529058067</v>
      </c>
      <c r="BH43" s="62">
        <f t="shared" si="8"/>
        <v>507.23751862391396</v>
      </c>
      <c r="BI43" s="62">
        <f ca="1">AVERAGE(OFFSET($BH$3,0,0,'Données projet'!$E$11+1,1))-AVERAGE(OFFSET($H$3,0,0,'Données projet'!$E$11+1,1))</f>
        <v>165.98015798223548</v>
      </c>
      <c r="BJ43" s="62">
        <f t="shared" si="38"/>
        <v>143.97979034100706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11.4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157.74720000000002</v>
      </c>
      <c r="CA43" s="14">
        <f t="shared" si="39"/>
        <v>40.33397149392006</v>
      </c>
      <c r="CB43" s="22">
        <f t="shared" si="10"/>
        <v>344.99137368524407</v>
      </c>
      <c r="CC43" s="62">
        <f t="shared" si="11"/>
        <v>638.32470701857733</v>
      </c>
      <c r="CD43" s="62">
        <f ca="1">AVERAGE(OFFSET($CC$3,0,0,'Données projet'!$E$12+1,1))-AVERAGE(OFFSET($H$3,0,0,'Données projet'!$E$12+1,1))</f>
        <v>335.16942824912076</v>
      </c>
      <c r="CE43" s="62">
        <f t="shared" si="40"/>
        <v>190.00559730122677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13.2</v>
      </c>
      <c r="N44" s="14">
        <f>IF('Données projet'!$A$36&gt;35,N43+M44-V43,IF(A44&lt;'Données projet'!$A$36,$K$205^A44,IF(A44='Données projet'!$A$36,'Données projet'!$B$36,N43+M44-V43)))</f>
        <v>298.10000000000008</v>
      </c>
      <c r="O44" s="14">
        <f>N44*VLOOKUP('Données projet'!$B$9,Paramètres!$A$1:$I$89,3,0)*VLOOKUP('Données projet'!$B$9,Paramètres!$A$1:$I$89,5,0)</f>
        <v>178.26380000000006</v>
      </c>
      <c r="P44" s="14">
        <f t="shared" si="33"/>
        <v>44.935696029498502</v>
      </c>
      <c r="Q44" s="22">
        <f t="shared" si="53"/>
        <v>388.73912225137661</v>
      </c>
      <c r="R44" s="62">
        <f t="shared" si="0"/>
        <v>682.07245558470993</v>
      </c>
      <c r="S44" s="62">
        <f ca="1">AVERAGE(OFFSET($R$3,0,0,'Données projet'!$E$9+1,1))-AVERAGE(OFFSET($H$3,0,0,'Données projet'!$E$9+1,1))</f>
        <v>152.63300189110146</v>
      </c>
      <c r="T44" s="62">
        <f t="shared" si="34"/>
        <v>236.66430374499453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10.854419604360539</v>
      </c>
      <c r="AA44" s="23">
        <f>EXP(-LN(2)/25)*AA43+(1-EXP(-LN(2)/25))/(LN(2)/25)*Calculateur!V44*Calculateur!X44*VLOOKUP('Données projet'!$B$9,Paramètres!$A$1:$I$89,3,0)*0.475*44/12</f>
        <v>7.2174592581828314</v>
      </c>
      <c r="AB44" s="23">
        <f>EXP(-LN(2)/2)*AB43+(1-EXP(-LN(2)/2))/(LN(2)/2)*V44*Y44*VLOOKUP('Données projet'!$B$9,Paramètres!$A$1:$I$89,3,0)*0.475*44/12</f>
        <v>6.4678466950496477E-2</v>
      </c>
      <c r="AC44" s="24">
        <f t="shared" si="3"/>
        <v>18.136557329493868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6.7354000000000003</v>
      </c>
      <c r="AI44" s="14">
        <f>IF('Données projet'!$A$62&gt;35,AI43+AH44-AQ43,IF(A44&lt;'Données projet'!$A$62,$AF$205^A44,IF(A44='Données projet'!$A$62,'Données projet'!$B$62,AI43+AH44-AQ43)))</f>
        <v>142.21039999999994</v>
      </c>
      <c r="AJ44" s="14">
        <f>AI44*VLOOKUP('Données projet'!$B$10,Paramètres!$A$1:$I$89,3,0)*VLOOKUP('Données projet'!$B$10,Paramètres!$A$1:$I$89,5,0)</f>
        <v>155.29375679999993</v>
      </c>
      <c r="AK44" s="14">
        <f t="shared" si="35"/>
        <v>39.779171721725241</v>
      </c>
      <c r="AL44" s="22">
        <f t="shared" si="4"/>
        <v>339.75201717533798</v>
      </c>
      <c r="AM44" s="62">
        <f t="shared" si="5"/>
        <v>633.08535050867135</v>
      </c>
      <c r="AN44" s="62">
        <f ca="1">AVERAGE(OFFSET($AM$3,0,0,'Données projet'!$E$10+1,1))-AVERAGE(OFFSET($H$3,0,0,'Données projet'!$E$10+1,1))</f>
        <v>886.54265074144564</v>
      </c>
      <c r="AO44" s="62">
        <f t="shared" si="36"/>
        <v>254.8922423500004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2.7700000000000005</v>
      </c>
      <c r="BD44" s="13">
        <f>IF('Données projet'!$A$88&gt;35,BD43+BC44-BL43,IF(A44&lt;'Données projet'!$A$88,$BA$205^A44,IF(A44='Données projet'!$A$88,'Données projet'!$B$88,BD43+BC44-BL43)))</f>
        <v>75.27</v>
      </c>
      <c r="BE44" s="14">
        <f>BD44*VLOOKUP('Données projet'!$B$11,Paramètres!$A$1:$I$89,3,0)*VLOOKUP('Données projet'!$B$11,Paramètres!$A$1:$I$89,5,0)</f>
        <v>86.711039999999983</v>
      </c>
      <c r="BF44" s="14">
        <f t="shared" si="37"/>
        <v>23.770296578960568</v>
      </c>
      <c r="BG44" s="22">
        <f t="shared" si="7"/>
        <v>192.42166120835626</v>
      </c>
      <c r="BH44" s="62">
        <f t="shared" si="8"/>
        <v>485.7549945416896</v>
      </c>
      <c r="BI44" s="62">
        <f ca="1">AVERAGE(OFFSET($BH$3,0,0,'Données projet'!$E$11+1,1))-AVERAGE(OFFSET($H$3,0,0,'Données projet'!$E$11+1,1))</f>
        <v>165.98015798223548</v>
      </c>
      <c r="BJ44" s="62">
        <f t="shared" si="38"/>
        <v>143.97979034100706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124.20096000000005</v>
      </c>
      <c r="CA44" s="14">
        <f t="shared" si="39"/>
        <v>32.65283344355251</v>
      </c>
      <c r="CB44" s="22">
        <f t="shared" si="10"/>
        <v>273.18702358085397</v>
      </c>
      <c r="CC44" s="62">
        <f t="shared" si="11"/>
        <v>566.52035691418723</v>
      </c>
      <c r="CD44" s="62">
        <f ca="1">AVERAGE(OFFSET($CC$3,0,0,'Données projet'!$E$12+1,1))-AVERAGE(OFFSET($H$3,0,0,'Données projet'!$E$12+1,1))</f>
        <v>335.16942824912076</v>
      </c>
      <c r="CE44" s="62">
        <f t="shared" si="40"/>
        <v>190.00559730122677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311.3</v>
      </c>
      <c r="L45" s="13">
        <f>VLOOKUP(A45,'Données projet'!$A$35:$I$55,9,0)</f>
        <v>13.2</v>
      </c>
      <c r="M45" s="13">
        <f t="array" ref="M45">INDEX(L:L,MIN(IF(ISNUMBER(L45:L241),ROW(L45:L241),"")))</f>
        <v>13.2</v>
      </c>
      <c r="N45" s="14">
        <f>IF('Données projet'!$A$36&gt;35,N44+M45-V44,IF(A45&lt;'Données projet'!$A$36,$K$205^A45,IF(A45='Données projet'!$A$36,'Données projet'!$B$36,N44+M45-V44)))</f>
        <v>311.30000000000007</v>
      </c>
      <c r="O45" s="14">
        <f>N45*VLOOKUP('Données projet'!$B$9,Paramètres!$A$1:$I$89,3,0)*VLOOKUP('Données projet'!$B$9,Paramètres!$A$1:$I$89,5,0)</f>
        <v>186.15740000000005</v>
      </c>
      <c r="P45" s="14">
        <f t="shared" si="33"/>
        <v>46.689400986642845</v>
      </c>
      <c r="Q45" s="22">
        <f t="shared" si="53"/>
        <v>405.541511718403</v>
      </c>
      <c r="R45" s="62">
        <f t="shared" si="0"/>
        <v>698.87484505173632</v>
      </c>
      <c r="S45" s="62">
        <f ca="1">AVERAGE(OFFSET($R$3,0,0,'Données projet'!$E$9+1,1))-AVERAGE(OFFSET($H$3,0,0,'Données projet'!$E$9+1,1))</f>
        <v>152.63300189110146</v>
      </c>
      <c r="T45" s="62">
        <f t="shared" si="34"/>
        <v>236.66430374499453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10.641571056461263</v>
      </c>
      <c r="AA45" s="23">
        <f>EXP(-LN(2)/25)*AA44+(1-EXP(-LN(2)/25))/(LN(2)/25)*Calculateur!V45*Calculateur!X45*VLOOKUP('Données projet'!$B$9,Paramètres!$A$1:$I$89,3,0)*0.475*44/12</f>
        <v>7.020097455218135</v>
      </c>
      <c r="AB45" s="23">
        <f>EXP(-LN(2)/2)*AB44+(1-EXP(-LN(2)/2))/(LN(2)/2)*V45*Y45*VLOOKUP('Données projet'!$B$9,Paramètres!$A$1:$I$89,3,0)*0.475*44/12</f>
        <v>4.5734582577446059E-2</v>
      </c>
      <c r="AC45" s="24">
        <f t="shared" si="3"/>
        <v>17.707403094256843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6.7354000000000003</v>
      </c>
      <c r="AI45" s="14">
        <f>IF('Données projet'!$A$62&gt;35,AI44+AH45-AQ44,IF(A45&lt;'Données projet'!$A$62,$AF$205^A45,IF(A45='Données projet'!$A$62,'Données projet'!$B$62,AI44+AH45-AQ44)))</f>
        <v>148.94579999999993</v>
      </c>
      <c r="AJ45" s="14">
        <f>AI45*VLOOKUP('Données projet'!$B$10,Paramètres!$A$1:$I$89,3,0)*VLOOKUP('Données projet'!$B$10,Paramètres!$A$1:$I$89,5,0)</f>
        <v>162.64881359999993</v>
      </c>
      <c r="AK45" s="14">
        <f t="shared" si="35"/>
        <v>41.439390579492979</v>
      </c>
      <c r="AL45" s="22">
        <f t="shared" si="4"/>
        <v>355.45362227928348</v>
      </c>
      <c r="AM45" s="62">
        <f t="shared" si="5"/>
        <v>648.78695561261679</v>
      </c>
      <c r="AN45" s="62">
        <f ca="1">AVERAGE(OFFSET($AM$3,0,0,'Données projet'!$E$10+1,1))-AVERAGE(OFFSET($H$3,0,0,'Données projet'!$E$10+1,1))</f>
        <v>886.54265074144564</v>
      </c>
      <c r="AO45" s="62">
        <f t="shared" si="36"/>
        <v>254.8922423500004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2.7700000000000005</v>
      </c>
      <c r="BD45" s="13">
        <f>IF('Données projet'!$A$88&gt;35,BD44+BC45-BL44,IF(A45&lt;'Données projet'!$A$88,$BA$205^A45,IF(A45='Données projet'!$A$88,'Données projet'!$B$88,BD44+BC45-BL44)))</f>
        <v>78.039999999999992</v>
      </c>
      <c r="BE45" s="14">
        <f>BD45*VLOOKUP('Données projet'!$B$11,Paramètres!$A$1:$I$89,3,0)*VLOOKUP('Données projet'!$B$11,Paramètres!$A$1:$I$89,5,0)</f>
        <v>89.902079999999984</v>
      </c>
      <c r="BF45" s="14">
        <f t="shared" si="37"/>
        <v>24.541607551812714</v>
      </c>
      <c r="BG45" s="22">
        <f t="shared" si="7"/>
        <v>199.32275581940712</v>
      </c>
      <c r="BH45" s="62">
        <f t="shared" si="8"/>
        <v>492.65608915274044</v>
      </c>
      <c r="BI45" s="62">
        <f ca="1">AVERAGE(OFFSET($BH$3,0,0,'Données projet'!$E$11+1,1))-AVERAGE(OFFSET($H$3,0,0,'Données projet'!$E$11+1,1))</f>
        <v>165.98015798223548</v>
      </c>
      <c r="BJ45" s="62">
        <f t="shared" si="38"/>
        <v>143.97979034100706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132.58752000000007</v>
      </c>
      <c r="CA45" s="14">
        <f t="shared" si="39"/>
        <v>34.593571694787713</v>
      </c>
      <c r="CB45" s="22">
        <f t="shared" si="10"/>
        <v>291.17373470175534</v>
      </c>
      <c r="CC45" s="62">
        <f t="shared" si="11"/>
        <v>584.50706803508865</v>
      </c>
      <c r="CD45" s="62">
        <f ca="1">AVERAGE(OFFSET($CC$3,0,0,'Données projet'!$E$12+1,1))-AVERAGE(OFFSET($H$3,0,0,'Données projet'!$E$12+1,1))</f>
        <v>335.16942824912076</v>
      </c>
      <c r="CE45" s="62">
        <f t="shared" si="40"/>
        <v>190.00559730122677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324.5</v>
      </c>
      <c r="L46" s="13">
        <f>VLOOKUP(A46,'Données projet'!$A$35:$I$55,9,0)</f>
        <v>13.199999999999989</v>
      </c>
      <c r="M46" s="13">
        <f t="array" ref="M46">INDEX(L:L,MIN(IF(ISNUMBER(L46:L242),ROW(L46:L242),"")))</f>
        <v>13.199999999999989</v>
      </c>
      <c r="N46" s="14">
        <f>IF('Données projet'!$A$36&gt;35,N45+M46-V45,IF(A46&lt;'Données projet'!$A$36,$K$205^A46,IF(A46='Données projet'!$A$36,'Données projet'!$B$36,N45+M46-V45)))</f>
        <v>324.50000000000006</v>
      </c>
      <c r="O46" s="14">
        <f>N46*VLOOKUP('Données projet'!$B$9,Paramètres!$A$1:$I$89,3,0)*VLOOKUP('Données projet'!$B$9,Paramètres!$A$1:$I$89,5,0)</f>
        <v>194.05100000000004</v>
      </c>
      <c r="P46" s="14">
        <f t="shared" si="33"/>
        <v>48.434468794025683</v>
      </c>
      <c r="Q46" s="22">
        <f t="shared" si="53"/>
        <v>422.32885814959485</v>
      </c>
      <c r="R46" s="62">
        <f t="shared" si="0"/>
        <v>715.66219148292816</v>
      </c>
      <c r="S46" s="62">
        <f ca="1">AVERAGE(OFFSET($R$3,0,0,'Données projet'!$E$9+1,1))-AVERAGE(OFFSET($H$3,0,0,'Données projet'!$E$9+1,1))</f>
        <v>152.63300189110146</v>
      </c>
      <c r="T46" s="62">
        <f t="shared" si="34"/>
        <v>236.66430374499453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10.432896338761497</v>
      </c>
      <c r="AA46" s="23">
        <f>EXP(-LN(2)/25)*AA45+(1-EXP(-LN(2)/25))/(LN(2)/25)*Calculateur!V46*Calculateur!X46*VLOOKUP('Données projet'!$B$9,Paramètres!$A$1:$I$89,3,0)*0.475*44/12</f>
        <v>6.8281325211343145</v>
      </c>
      <c r="AB46" s="23">
        <f>EXP(-LN(2)/2)*AB45+(1-EXP(-LN(2)/2))/(LN(2)/2)*V46*Y46*VLOOKUP('Données projet'!$B$9,Paramètres!$A$1:$I$89,3,0)*0.475*44/12</f>
        <v>3.2339233475248239E-2</v>
      </c>
      <c r="AC46" s="24">
        <f t="shared" si="3"/>
        <v>17.293368093371058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6.7354000000000003</v>
      </c>
      <c r="AI46" s="14">
        <f>IF('Données projet'!$A$62&gt;35,AI45+AH46-AQ45,IF(A46&lt;'Données projet'!$A$62,$AF$205^A46,IF(A46='Données projet'!$A$62,'Données projet'!$B$62,AI45+AH46-AQ45)))</f>
        <v>155.68119999999993</v>
      </c>
      <c r="AJ46" s="14">
        <f>AI46*VLOOKUP('Données projet'!$B$10,Paramètres!$A$1:$I$89,3,0)*VLOOKUP('Données projet'!$B$10,Paramètres!$A$1:$I$89,5,0)</f>
        <v>170.00387039999993</v>
      </c>
      <c r="AK46" s="14">
        <f t="shared" si="35"/>
        <v>43.090890425012162</v>
      </c>
      <c r="AL46" s="22">
        <f t="shared" si="4"/>
        <v>371.14004177022935</v>
      </c>
      <c r="AM46" s="62">
        <f t="shared" si="5"/>
        <v>664.4733751035626</v>
      </c>
      <c r="AN46" s="62">
        <f ca="1">AVERAGE(OFFSET($AM$3,0,0,'Données projet'!$E$10+1,1))-AVERAGE(OFFSET($H$3,0,0,'Données projet'!$E$10+1,1))</f>
        <v>886.54265074144564</v>
      </c>
      <c r="AO46" s="62">
        <f t="shared" si="36"/>
        <v>254.8922423500004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2.7700000000000005</v>
      </c>
      <c r="BD46" s="13">
        <f>IF('Données projet'!$A$88&gt;35,BD45+BC46-BL45,IF(A46&lt;'Données projet'!$A$88,$BA$205^A46,IF(A46='Données projet'!$A$88,'Données projet'!$B$88,BD45+BC46-BL45)))</f>
        <v>80.809999999999988</v>
      </c>
      <c r="BE46" s="14">
        <f>BD46*VLOOKUP('Données projet'!$B$11,Paramètres!$A$1:$I$89,3,0)*VLOOKUP('Données projet'!$B$11,Paramètres!$A$1:$I$89,5,0)</f>
        <v>93.093119999999985</v>
      </c>
      <c r="BF46" s="14">
        <f t="shared" si="37"/>
        <v>25.309737665153484</v>
      </c>
      <c r="BG46" s="22">
        <f t="shared" si="7"/>
        <v>206.21831043347561</v>
      </c>
      <c r="BH46" s="62">
        <f t="shared" si="8"/>
        <v>499.55164376680892</v>
      </c>
      <c r="BI46" s="62">
        <f ca="1">AVERAGE(OFFSET($BH$3,0,0,'Données projet'!$E$11+1,1))-AVERAGE(OFFSET($H$3,0,0,'Données projet'!$E$11+1,1))</f>
        <v>165.98015798223548</v>
      </c>
      <c r="BJ46" s="62">
        <f t="shared" si="38"/>
        <v>143.97979034100706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140.97408000000007</v>
      </c>
      <c r="CA46" s="14">
        <f t="shared" si="39"/>
        <v>36.520063416291229</v>
      </c>
      <c r="CB46" s="22">
        <f t="shared" si="10"/>
        <v>309.13563311670737</v>
      </c>
      <c r="CC46" s="62">
        <f t="shared" si="11"/>
        <v>602.46896645004063</v>
      </c>
      <c r="CD46" s="62">
        <f ca="1">AVERAGE(OFFSET($CC$3,0,0,'Données projet'!$E$12+1,1))-AVERAGE(OFFSET($H$3,0,0,'Données projet'!$E$12+1,1))</f>
        <v>335.16942824912076</v>
      </c>
      <c r="CE46" s="62">
        <f t="shared" si="40"/>
        <v>190.00559730122677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337.8</v>
      </c>
      <c r="L47" s="13">
        <f>VLOOKUP(A47,'Données projet'!$A$35:$I$55,9,0)</f>
        <v>13.300000000000011</v>
      </c>
      <c r="M47" s="13">
        <f t="array" ref="M47">INDEX(L:L,MIN(IF(ISNUMBER(L47:L243),ROW(L47:L243),"")))</f>
        <v>13.300000000000011</v>
      </c>
      <c r="N47" s="14">
        <f>IF('Données projet'!$A$36&gt;35,N46+M47-V46,IF(A47&lt;'Données projet'!$A$36,$K$205^A47,IF(A47='Données projet'!$A$36,'Données projet'!$B$36,N46+M47-V46)))</f>
        <v>337.80000000000007</v>
      </c>
      <c r="O47" s="14">
        <f>N47*VLOOKUP('Données projet'!$B$9,Paramètres!$A$1:$I$89,3,0)*VLOOKUP('Données projet'!$B$9,Paramètres!$A$1:$I$89,5,0)</f>
        <v>202.00440000000006</v>
      </c>
      <c r="P47" s="14">
        <f t="shared" si="33"/>
        <v>50.184418192658534</v>
      </c>
      <c r="Q47" s="22">
        <f t="shared" si="53"/>
        <v>439.22885835221365</v>
      </c>
      <c r="R47" s="62">
        <f t="shared" si="0"/>
        <v>732.56219168554696</v>
      </c>
      <c r="S47" s="62">
        <f ca="1">AVERAGE(OFFSET($R$3,0,0,'Données projet'!$E$9+1,1))-AVERAGE(OFFSET($H$3,0,0,'Données projet'!$E$9+1,1))</f>
        <v>152.63300189110146</v>
      </c>
      <c r="T47" s="62">
        <f t="shared" si="34"/>
        <v>236.66430374499453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337.8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10.228313604996814</v>
      </c>
      <c r="AA47" s="23">
        <f>EXP(-LN(2)/25)*AA46+(1-EXP(-LN(2)/25))/(LN(2)/25)*Calculateur!V47*Calculateur!X47*VLOOKUP('Données projet'!$B$9,Paramètres!$A$1:$I$89,3,0)*0.475*44/12</f>
        <v>6.6414168782680134</v>
      </c>
      <c r="AB47" s="23">
        <f>EXP(-LN(2)/2)*AB46+(1-EXP(-LN(2)/2))/(LN(2)/2)*V47*Y47*VLOOKUP('Données projet'!$B$9,Paramètres!$A$1:$I$89,3,0)*0.475*44/12</f>
        <v>2.286729128872303E-2</v>
      </c>
      <c r="AC47" s="24">
        <f t="shared" si="3"/>
        <v>16.89259777455355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6.7354000000000003</v>
      </c>
      <c r="AI47" s="14">
        <f>IF('Données projet'!$A$62&gt;35,AI46+AH47-AQ46,IF(A47&lt;'Données projet'!$A$62,$AF$205^A47,IF(A47='Données projet'!$A$62,'Données projet'!$B$62,AI46+AH47-AQ46)))</f>
        <v>162.41659999999993</v>
      </c>
      <c r="AJ47" s="14">
        <f>AI47*VLOOKUP('Données projet'!$B$10,Paramètres!$A$1:$I$89,3,0)*VLOOKUP('Données projet'!$B$10,Paramètres!$A$1:$I$89,5,0)</f>
        <v>177.35892719999993</v>
      </c>
      <c r="AK47" s="14">
        <f t="shared" si="35"/>
        <v>44.734091595546289</v>
      </c>
      <c r="AL47" s="22">
        <f t="shared" si="4"/>
        <v>386.81200773557634</v>
      </c>
      <c r="AM47" s="62">
        <f t="shared" si="5"/>
        <v>680.1453410689096</v>
      </c>
      <c r="AN47" s="62">
        <f ca="1">AVERAGE(OFFSET($AM$3,0,0,'Données projet'!$E$10+1,1))-AVERAGE(OFFSET($H$3,0,0,'Données projet'!$E$10+1,1))</f>
        <v>886.54265074144564</v>
      </c>
      <c r="AO47" s="62">
        <f t="shared" si="36"/>
        <v>254.8922423500004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2.7700000000000005</v>
      </c>
      <c r="BD47" s="13">
        <f>IF('Données projet'!$A$88&gt;35,BD46+BC47-BL46,IF(A47&lt;'Données projet'!$A$88,$BA$205^A47,IF(A47='Données projet'!$A$88,'Données projet'!$B$88,BD46+BC47-BL46)))</f>
        <v>83.579999999999984</v>
      </c>
      <c r="BE47" s="14">
        <f>BD47*VLOOKUP('Données projet'!$B$11,Paramètres!$A$1:$I$89,3,0)*VLOOKUP('Données projet'!$B$11,Paramètres!$A$1:$I$89,5,0)</f>
        <v>96.284159999999986</v>
      </c>
      <c r="BF47" s="14">
        <f t="shared" si="37"/>
        <v>26.074808449604333</v>
      </c>
      <c r="BG47" s="22">
        <f t="shared" si="7"/>
        <v>213.10853671639416</v>
      </c>
      <c r="BH47" s="62">
        <f t="shared" si="8"/>
        <v>506.44187004972747</v>
      </c>
      <c r="BI47" s="62">
        <f ca="1">AVERAGE(OFFSET($BH$3,0,0,'Données projet'!$E$11+1,1))-AVERAGE(OFFSET($H$3,0,0,'Données projet'!$E$11+1,1))</f>
        <v>165.98015798223548</v>
      </c>
      <c r="BJ47" s="62">
        <f t="shared" si="38"/>
        <v>143.97979034100706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149.36064000000005</v>
      </c>
      <c r="CA47" s="14">
        <f t="shared" si="39"/>
        <v>38.433252665260959</v>
      </c>
      <c r="CB47" s="22">
        <f t="shared" si="10"/>
        <v>327.07436305866293</v>
      </c>
      <c r="CC47" s="62">
        <f t="shared" si="11"/>
        <v>620.4076963919963</v>
      </c>
      <c r="CD47" s="62">
        <f ca="1">AVERAGE(OFFSET($CC$3,0,0,'Données projet'!$E$12+1,1))-AVERAGE(OFFSET($H$3,0,0,'Données projet'!$E$12+1,1))</f>
        <v>335.16942824912076</v>
      </c>
      <c r="CE47" s="62">
        <f t="shared" si="40"/>
        <v>190.00559730122677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152.63300189110146</v>
      </c>
      <c r="T48" s="62">
        <f t="shared" si="34"/>
        <v>236.66430374499453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10.027742613858109</v>
      </c>
      <c r="AA48" s="23">
        <f>EXP(-LN(2)/25)*AA47+(1-EXP(-LN(2)/25))/(LN(2)/25)*Calculateur!V48*Calculateur!X48*VLOOKUP('Données projet'!$B$9,Paramètres!$A$1:$I$89,3,0)*0.475*44/12</f>
        <v>6.4598069844748398</v>
      </c>
      <c r="AB48" s="23">
        <f>EXP(-LN(2)/2)*AB47+(1-EXP(-LN(2)/2))/(LN(2)/2)*V48*Y48*VLOOKUP('Données projet'!$B$9,Paramètres!$A$1:$I$89,3,0)*0.475*44/12</f>
        <v>1.6169616737624119E-2</v>
      </c>
      <c r="AC48" s="24">
        <f t="shared" si="3"/>
        <v>16.503719215070571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6.7354000000000003</v>
      </c>
      <c r="AI48" s="14">
        <f>IF('Données projet'!$A$62&gt;35,AI47+AH48-AQ47,IF(A48&lt;'Données projet'!$A$62,$AF$205^A48,IF(A48='Données projet'!$A$62,'Données projet'!$B$62,AI47+AH48-AQ47)))</f>
        <v>169.15199999999993</v>
      </c>
      <c r="AJ48" s="14">
        <f>AI48*VLOOKUP('Données projet'!$B$10,Paramètres!$A$1:$I$89,3,0)*VLOOKUP('Données projet'!$B$10,Paramètres!$A$1:$I$89,5,0)</f>
        <v>184.71398399999993</v>
      </c>
      <c r="AK48" s="14">
        <f t="shared" si="35"/>
        <v>46.369377593175656</v>
      </c>
      <c r="AL48" s="22">
        <f t="shared" si="4"/>
        <v>402.47018810811414</v>
      </c>
      <c r="AM48" s="62">
        <f t="shared" si="5"/>
        <v>695.8035214414474</v>
      </c>
      <c r="AN48" s="62">
        <f ca="1">AVERAGE(OFFSET($AM$3,0,0,'Données projet'!$E$10+1,1))-AVERAGE(OFFSET($H$3,0,0,'Données projet'!$E$10+1,1))</f>
        <v>886.54265074144564</v>
      </c>
      <c r="AO48" s="62">
        <f t="shared" si="36"/>
        <v>254.8922423500004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2.7700000000000005</v>
      </c>
      <c r="BD48" s="13">
        <f>IF('Données projet'!$A$88&gt;35,BD47+BC48-BL47,IF(A48&lt;'Données projet'!$A$88,$BA$205^A48,IF(A48='Données projet'!$A$88,'Données projet'!$B$88,BD47+BC48-BL47)))</f>
        <v>86.34999999999998</v>
      </c>
      <c r="BE48" s="14">
        <f>BD48*VLOOKUP('Données projet'!$B$11,Paramètres!$A$1:$I$89,3,0)*VLOOKUP('Données projet'!$B$11,Paramètres!$A$1:$I$89,5,0)</f>
        <v>99.475199999999958</v>
      </c>
      <c r="BF48" s="14">
        <f t="shared" si="37"/>
        <v>26.836932923128014</v>
      </c>
      <c r="BG48" s="22">
        <f t="shared" si="7"/>
        <v>219.9936315077812</v>
      </c>
      <c r="BH48" s="62">
        <f t="shared" si="8"/>
        <v>513.32696484111455</v>
      </c>
      <c r="BI48" s="62">
        <f ca="1">AVERAGE(OFFSET($BH$3,0,0,'Données projet'!$E$11+1,1))-AVERAGE(OFFSET($H$3,0,0,'Données projet'!$E$11+1,1))</f>
        <v>165.98015798223548</v>
      </c>
      <c r="BJ48" s="62">
        <f t="shared" si="38"/>
        <v>143.97979034100706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157.74720000000005</v>
      </c>
      <c r="CA48" s="14">
        <f t="shared" si="39"/>
        <v>40.333971493920103</v>
      </c>
      <c r="CB48" s="22">
        <f t="shared" si="10"/>
        <v>344.99137368524424</v>
      </c>
      <c r="CC48" s="62">
        <f t="shared" si="11"/>
        <v>638.32470701857756</v>
      </c>
      <c r="CD48" s="62">
        <f ca="1">AVERAGE(OFFSET($CC$3,0,0,'Données projet'!$E$12+1,1))-AVERAGE(OFFSET($H$3,0,0,'Données projet'!$E$12+1,1))</f>
        <v>335.16942824912076</v>
      </c>
      <c r="CE48" s="62">
        <f t="shared" si="40"/>
        <v>190.00559730122677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152.63300189110146</v>
      </c>
      <c r="T49" s="62">
        <f t="shared" si="34"/>
        <v>236.66430374499453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9.8311046975194092</v>
      </c>
      <c r="AA49" s="23">
        <f>EXP(-LN(2)/25)*AA48+(1-EXP(-LN(2)/25))/(LN(2)/25)*Calculateur!V49*Calculateur!X49*VLOOKUP('Données projet'!$B$9,Paramètres!$A$1:$I$89,3,0)*0.475*44/12</f>
        <v>6.2831632227778904</v>
      </c>
      <c r="AB49" s="23">
        <f>EXP(-LN(2)/2)*AB48+(1-EXP(-LN(2)/2))/(LN(2)/2)*V49*Y49*VLOOKUP('Données projet'!$B$9,Paramètres!$A$1:$I$89,3,0)*0.475*44/12</f>
        <v>1.1433645644361515E-2</v>
      </c>
      <c r="AC49" s="24">
        <f t="shared" si="3"/>
        <v>16.125701565941664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6.7354000000000003</v>
      </c>
      <c r="AI49" s="14">
        <f>IF('Données projet'!$A$62&gt;35,AI48+AH49-AQ48,IF(A49&lt;'Données projet'!$A$62,$AF$205^A49,IF(A49='Données projet'!$A$62,'Données projet'!$B$62,AI48+AH49-AQ48)))</f>
        <v>175.88739999999993</v>
      </c>
      <c r="AJ49" s="14">
        <f>AI49*VLOOKUP('Données projet'!$B$10,Paramètres!$A$1:$I$89,3,0)*VLOOKUP('Données projet'!$B$10,Paramètres!$A$1:$I$89,5,0)</f>
        <v>192.0690407999999</v>
      </c>
      <c r="AK49" s="14">
        <f t="shared" si="35"/>
        <v>47.997099650112382</v>
      </c>
      <c r="AL49" s="22">
        <f t="shared" si="4"/>
        <v>418.11519461727886</v>
      </c>
      <c r="AM49" s="62">
        <f t="shared" si="5"/>
        <v>711.44852795061217</v>
      </c>
      <c r="AN49" s="62">
        <f ca="1">AVERAGE(OFFSET($AM$3,0,0,'Données projet'!$E$10+1,1))-AVERAGE(OFFSET($H$3,0,0,'Données projet'!$E$10+1,1))</f>
        <v>886.54265074144564</v>
      </c>
      <c r="AO49" s="62">
        <f t="shared" si="36"/>
        <v>254.8922423500004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2.7700000000000005</v>
      </c>
      <c r="BD49" s="13">
        <f>IF('Données projet'!$A$88&gt;35,BD48+BC49-BL48,IF(A49&lt;'Données projet'!$A$88,$BA$205^A49,IF(A49='Données projet'!$A$88,'Données projet'!$B$88,BD48+BC49-BL48)))</f>
        <v>89.119999999999976</v>
      </c>
      <c r="BE49" s="14">
        <f>BD49*VLOOKUP('Données projet'!$B$11,Paramètres!$A$1:$I$89,3,0)*VLOOKUP('Données projet'!$B$11,Paramètres!$A$1:$I$89,5,0)</f>
        <v>102.66623999999996</v>
      </c>
      <c r="BF49" s="14">
        <f t="shared" si="37"/>
        <v>27.596216441048689</v>
      </c>
      <c r="BG49" s="22">
        <f t="shared" si="7"/>
        <v>226.87377830149305</v>
      </c>
      <c r="BH49" s="62">
        <f t="shared" si="8"/>
        <v>520.20711163482633</v>
      </c>
      <c r="BI49" s="62">
        <f ca="1">AVERAGE(OFFSET($BH$3,0,0,'Données projet'!$E$11+1,1))-AVERAGE(OFFSET($H$3,0,0,'Données projet'!$E$11+1,1))</f>
        <v>165.98015798223548</v>
      </c>
      <c r="BJ49" s="62">
        <f t="shared" si="38"/>
        <v>143.97979034100706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165.93408000000005</v>
      </c>
      <c r="CA49" s="14">
        <f t="shared" si="39"/>
        <v>42.178113754306793</v>
      </c>
      <c r="CB49" s="22">
        <f t="shared" si="10"/>
        <v>362.46207078875108</v>
      </c>
      <c r="CC49" s="62">
        <f t="shared" si="11"/>
        <v>655.79540412208439</v>
      </c>
      <c r="CD49" s="62">
        <f ca="1">AVERAGE(OFFSET($CC$3,0,0,'Données projet'!$E$12+1,1))-AVERAGE(OFFSET($H$3,0,0,'Données projet'!$E$12+1,1))</f>
        <v>335.16942824912076</v>
      </c>
      <c r="CE49" s="62">
        <f t="shared" si="40"/>
        <v>190.00559730122677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152.63300189110146</v>
      </c>
      <c r="T50" s="62">
        <f t="shared" si="34"/>
        <v>236.66430374499453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9.638322730782825</v>
      </c>
      <c r="AA50" s="23">
        <f>EXP(-LN(2)/25)*AA49+(1-EXP(-LN(2)/25))/(LN(2)/25)*Calculateur!V50*Calculateur!X50*VLOOKUP('Données projet'!$B$9,Paramètres!$A$1:$I$89,3,0)*0.475*44/12</f>
        <v>6.1113497940338357</v>
      </c>
      <c r="AB50" s="23">
        <f>EXP(-LN(2)/2)*AB49+(1-EXP(-LN(2)/2))/(LN(2)/2)*V50*Y50*VLOOKUP('Données projet'!$B$9,Paramètres!$A$1:$I$89,3,0)*0.475*44/12</f>
        <v>8.0848083688120596E-3</v>
      </c>
      <c r="AC50" s="24">
        <f t="shared" si="3"/>
        <v>15.757757333185472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6.7354000000000003</v>
      </c>
      <c r="AI50" s="14">
        <f>IF('Données projet'!$A$62&gt;35,AI49+AH50-AQ49,IF(A50&lt;'Données projet'!$A$62,$AF$205^A50,IF(A50='Données projet'!$A$62,'Données projet'!$B$62,AI49+AH50-AQ49)))</f>
        <v>182.62279999999993</v>
      </c>
      <c r="AJ50" s="14">
        <f>AI50*VLOOKUP('Données projet'!$B$10,Paramètres!$A$1:$I$89,3,0)*VLOOKUP('Données projet'!$B$10,Paramètres!$A$1:$I$89,5,0)</f>
        <v>199.42409759999993</v>
      </c>
      <c r="AK50" s="14">
        <f t="shared" si="35"/>
        <v>49.61758057505341</v>
      </c>
      <c r="AL50" s="22">
        <f t="shared" si="4"/>
        <v>433.7475894882179</v>
      </c>
      <c r="AM50" s="62">
        <f t="shared" si="5"/>
        <v>727.08092282155121</v>
      </c>
      <c r="AN50" s="62">
        <f ca="1">AVERAGE(OFFSET($AM$3,0,0,'Données projet'!$E$10+1,1))-AVERAGE(OFFSET($H$3,0,0,'Données projet'!$E$10+1,1))</f>
        <v>886.54265074144564</v>
      </c>
      <c r="AO50" s="62">
        <f t="shared" si="36"/>
        <v>254.8922423500004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2.7700000000000005</v>
      </c>
      <c r="BD50" s="13">
        <f>IF('Données projet'!$A$88&gt;35,BD49+BC50-BL49,IF(A50&lt;'Données projet'!$A$88,$BA$205^A50,IF(A50='Données projet'!$A$88,'Données projet'!$B$88,BD49+BC50-BL49)))</f>
        <v>91.889999999999972</v>
      </c>
      <c r="BE50" s="14">
        <f>BD50*VLOOKUP('Données projet'!$B$11,Paramètres!$A$1:$I$89,3,0)*VLOOKUP('Données projet'!$B$11,Paramètres!$A$1:$I$89,5,0)</f>
        <v>105.85727999999996</v>
      </c>
      <c r="BF50" s="14">
        <f t="shared" si="37"/>
        <v>28.352757437422966</v>
      </c>
      <c r="BG50" s="22">
        <f t="shared" si="7"/>
        <v>233.7491485368449</v>
      </c>
      <c r="BH50" s="62">
        <f t="shared" si="8"/>
        <v>527.08248187017819</v>
      </c>
      <c r="BI50" s="62">
        <f ca="1">AVERAGE(OFFSET($BH$3,0,0,'Données projet'!$E$11+1,1))-AVERAGE(OFFSET($H$3,0,0,'Données projet'!$E$11+1,1))</f>
        <v>165.98015798223548</v>
      </c>
      <c r="BJ50" s="62">
        <f t="shared" si="38"/>
        <v>143.97979034100706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174.12096000000005</v>
      </c>
      <c r="CA50" s="14">
        <f t="shared" si="39"/>
        <v>44.011691006726345</v>
      </c>
      <c r="CB50" s="22">
        <f t="shared" si="10"/>
        <v>379.91436717004848</v>
      </c>
      <c r="CC50" s="62">
        <f t="shared" si="11"/>
        <v>673.24770050338179</v>
      </c>
      <c r="CD50" s="62">
        <f ca="1">AVERAGE(OFFSET($CC$3,0,0,'Données projet'!$E$12+1,1))-AVERAGE(OFFSET($H$3,0,0,'Données projet'!$E$12+1,1))</f>
        <v>335.16942824912076</v>
      </c>
      <c r="CE50" s="62">
        <f t="shared" si="40"/>
        <v>190.00559730122677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152.63300189110146</v>
      </c>
      <c r="T51" s="62">
        <f t="shared" si="34"/>
        <v>236.66430374499453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9.4493211008285574</v>
      </c>
      <c r="AA51" s="23">
        <f>EXP(-LN(2)/25)*AA50+(1-EXP(-LN(2)/25))/(LN(2)/25)*Calculateur!V51*Calculateur!X51*VLOOKUP('Données projet'!$B$9,Paramètres!$A$1:$I$89,3,0)*0.475*44/12</f>
        <v>5.9442346125340624</v>
      </c>
      <c r="AB51" s="23">
        <f>EXP(-LN(2)/2)*AB50+(1-EXP(-LN(2)/2))/(LN(2)/2)*V51*Y51*VLOOKUP('Données projet'!$B$9,Paramètres!$A$1:$I$89,3,0)*0.475*44/12</f>
        <v>5.7168228221807574E-3</v>
      </c>
      <c r="AC51" s="24">
        <f t="shared" si="3"/>
        <v>15.399272536184801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6.7354000000000003</v>
      </c>
      <c r="AI51" s="14">
        <f>IF('Données projet'!$A$62&gt;35,AI50+AH51-AQ50,IF(A51&lt;'Données projet'!$A$62,$AF$205^A51,IF(A51='Données projet'!$A$62,'Données projet'!$B$62,AI50+AH51-AQ50)))</f>
        <v>189.35819999999993</v>
      </c>
      <c r="AJ51" s="14">
        <f>AI51*VLOOKUP('Données projet'!$B$10,Paramètres!$A$1:$I$89,3,0)*VLOOKUP('Données projet'!$B$10,Paramètres!$A$1:$I$89,5,0)</f>
        <v>206.7791543999999</v>
      </c>
      <c r="AK51" s="14">
        <f t="shared" si="35"/>
        <v>51.231118016147001</v>
      </c>
      <c r="AL51" s="22">
        <f t="shared" si="4"/>
        <v>449.3678911247892</v>
      </c>
      <c r="AM51" s="62">
        <f t="shared" si="5"/>
        <v>742.70122445812251</v>
      </c>
      <c r="AN51" s="62">
        <f ca="1">AVERAGE(OFFSET($AM$3,0,0,'Données projet'!$E$10+1,1))-AVERAGE(OFFSET($H$3,0,0,'Données projet'!$E$10+1,1))</f>
        <v>886.54265074144564</v>
      </c>
      <c r="AO51" s="62">
        <f t="shared" si="36"/>
        <v>254.8922423500004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2.7700000000000005</v>
      </c>
      <c r="BD51" s="13">
        <f>IF('Données projet'!$A$88&gt;35,BD50+BC51-BL50,IF(A51&lt;'Données projet'!$A$88,$BA$205^A51,IF(A51='Données projet'!$A$88,'Données projet'!$B$88,BD50+BC51-BL50)))</f>
        <v>94.659999999999968</v>
      </c>
      <c r="BE51" s="14">
        <f>BD51*VLOOKUP('Données projet'!$B$11,Paramètres!$A$1:$I$89,3,0)*VLOOKUP('Données projet'!$B$11,Paramètres!$A$1:$I$89,5,0)</f>
        <v>109.04831999999996</v>
      </c>
      <c r="BF51" s="14">
        <f t="shared" si="37"/>
        <v>29.106648074505717</v>
      </c>
      <c r="BG51" s="22">
        <f t="shared" si="7"/>
        <v>240.61990272976405</v>
      </c>
      <c r="BH51" s="62">
        <f t="shared" si="8"/>
        <v>533.95323606309739</v>
      </c>
      <c r="BI51" s="62">
        <f ca="1">AVERAGE(OFFSET($BH$3,0,0,'Données projet'!$E$11+1,1))-AVERAGE(OFFSET($H$3,0,0,'Données projet'!$E$11+1,1))</f>
        <v>165.98015798223548</v>
      </c>
      <c r="BJ51" s="62">
        <f t="shared" si="38"/>
        <v>143.97979034100706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182.30784000000003</v>
      </c>
      <c r="CA51" s="14">
        <f t="shared" si="39"/>
        <v>45.835256724265726</v>
      </c>
      <c r="CB51" s="22">
        <f t="shared" si="10"/>
        <v>397.34922679476284</v>
      </c>
      <c r="CC51" s="62">
        <f t="shared" si="11"/>
        <v>690.68256012809616</v>
      </c>
      <c r="CD51" s="62">
        <f ca="1">AVERAGE(OFFSET($CC$3,0,0,'Données projet'!$E$12+1,1))-AVERAGE(OFFSET($H$3,0,0,'Données projet'!$E$12+1,1))</f>
        <v>335.16942824912076</v>
      </c>
      <c r="CE51" s="62">
        <f t="shared" si="40"/>
        <v>190.00559730122677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152.63300189110146</v>
      </c>
      <c r="T52" s="62">
        <f t="shared" si="34"/>
        <v>236.66430374499453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9.2640256775580809</v>
      </c>
      <c r="AA52" s="23">
        <f>EXP(-LN(2)/25)*AA51+(1-EXP(-LN(2)/25))/(LN(2)/25)*Calculateur!V52*Calculateur!X52*VLOOKUP('Données projet'!$B$9,Paramètres!$A$1:$I$89,3,0)*0.475*44/12</f>
        <v>5.7816892044606059</v>
      </c>
      <c r="AB52" s="23">
        <f>EXP(-LN(2)/2)*AB51+(1-EXP(-LN(2)/2))/(LN(2)/2)*V52*Y52*VLOOKUP('Données projet'!$B$9,Paramètres!$A$1:$I$89,3,0)*0.475*44/12</f>
        <v>4.0424041844060298E-3</v>
      </c>
      <c r="AC52" s="24">
        <f t="shared" si="3"/>
        <v>15.049757286203091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6.7354000000000003</v>
      </c>
      <c r="AI52" s="14">
        <f>IF('Données projet'!$A$62&gt;35,AI51+AH52-AQ51,IF(A52&lt;'Données projet'!$A$62,$AF$205^A52,IF(A52='Données projet'!$A$62,'Données projet'!$B$62,AI51+AH52-AQ51)))</f>
        <v>196.09359999999992</v>
      </c>
      <c r="AJ52" s="14">
        <f>AI52*VLOOKUP('Données projet'!$B$10,Paramètres!$A$1:$I$89,3,0)*VLOOKUP('Données projet'!$B$10,Paramètres!$A$1:$I$89,5,0)</f>
        <v>214.1342111999999</v>
      </c>
      <c r="AK52" s="14">
        <f t="shared" si="35"/>
        <v>52.837987246662678</v>
      </c>
      <c r="AL52" s="22">
        <f t="shared" si="4"/>
        <v>464.9765789612706</v>
      </c>
      <c r="AM52" s="62">
        <f t="shared" si="5"/>
        <v>758.30991229460392</v>
      </c>
      <c r="AN52" s="62">
        <f ca="1">AVERAGE(OFFSET($AM$3,0,0,'Données projet'!$E$10+1,1))-AVERAGE(OFFSET($H$3,0,0,'Données projet'!$E$10+1,1))</f>
        <v>886.54265074144564</v>
      </c>
      <c r="AO52" s="62">
        <f t="shared" si="36"/>
        <v>254.8922423500004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2.7700000000000005</v>
      </c>
      <c r="BD52" s="13">
        <f>IF('Données projet'!$A$88&gt;35,BD51+BC52-BL51,IF(A52&lt;'Données projet'!$A$88,$BA$205^A52,IF(A52='Données projet'!$A$88,'Données projet'!$B$88,BD51+BC52-BL51)))</f>
        <v>97.429999999999964</v>
      </c>
      <c r="BE52" s="14">
        <f>BD52*VLOOKUP('Données projet'!$B$11,Paramètres!$A$1:$I$89,3,0)*VLOOKUP('Données projet'!$B$11,Paramètres!$A$1:$I$89,5,0)</f>
        <v>112.23935999999996</v>
      </c>
      <c r="BF52" s="14">
        <f t="shared" si="37"/>
        <v>29.857974814058966</v>
      </c>
      <c r="BG52" s="22">
        <f t="shared" si="7"/>
        <v>247.48619146781928</v>
      </c>
      <c r="BH52" s="62">
        <f t="shared" si="8"/>
        <v>540.81952480115262</v>
      </c>
      <c r="BI52" s="62">
        <f ca="1">AVERAGE(OFFSET($BH$3,0,0,'Données projet'!$E$11+1,1))-AVERAGE(OFFSET($H$3,0,0,'Données projet'!$E$11+1,1))</f>
        <v>165.98015798223548</v>
      </c>
      <c r="BJ52" s="62">
        <f t="shared" si="38"/>
        <v>143.97979034100706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190.49472000000003</v>
      </c>
      <c r="CA52" s="14">
        <f t="shared" si="39"/>
        <v>47.6493118602924</v>
      </c>
      <c r="CB52" s="22">
        <f t="shared" si="10"/>
        <v>414.76752215667602</v>
      </c>
      <c r="CC52" s="62">
        <f t="shared" si="11"/>
        <v>708.10085549000928</v>
      </c>
      <c r="CD52" s="62">
        <f ca="1">AVERAGE(OFFSET($CC$3,0,0,'Données projet'!$E$12+1,1))-AVERAGE(OFFSET($H$3,0,0,'Données projet'!$E$12+1,1))</f>
        <v>335.16942824912076</v>
      </c>
      <c r="CE52" s="62">
        <f t="shared" si="40"/>
        <v>190.00559730122677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152.63300189110146</v>
      </c>
      <c r="T53" s="62">
        <f t="shared" si="34"/>
        <v>236.66430374499453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9.0823637845188898</v>
      </c>
      <c r="AA53" s="23">
        <f>EXP(-LN(2)/25)*AA52+(1-EXP(-LN(2)/25))/(LN(2)/25)*Calculateur!V53*Calculateur!X53*VLOOKUP('Données projet'!$B$9,Paramètres!$A$1:$I$89,3,0)*0.475*44/12</f>
        <v>5.6235886091188094</v>
      </c>
      <c r="AB53" s="23">
        <f>EXP(-LN(2)/2)*AB52+(1-EXP(-LN(2)/2))/(LN(2)/2)*V53*Y53*VLOOKUP('Données projet'!$B$9,Paramètres!$A$1:$I$89,3,0)*0.475*44/12</f>
        <v>2.8584114110903787E-3</v>
      </c>
      <c r="AC53" s="24">
        <f t="shared" si="3"/>
        <v>14.708810805048788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6.7354000000000003</v>
      </c>
      <c r="AI53" s="14">
        <f>IF('Données projet'!$A$62&gt;35,AI52+AH53-AQ52,IF(A53&lt;'Données projet'!$A$62,$AF$205^A53,IF(A53='Données projet'!$A$62,'Données projet'!$B$62,AI52+AH53-AQ52)))</f>
        <v>202.82899999999992</v>
      </c>
      <c r="AJ53" s="14">
        <f>AI53*VLOOKUP('Données projet'!$B$10,Paramètres!$A$1:$I$89,3,0)*VLOOKUP('Données projet'!$B$10,Paramètres!$A$1:$I$89,5,0)</f>
        <v>221.48926799999992</v>
      </c>
      <c r="AK53" s="14">
        <f t="shared" si="35"/>
        <v>54.438443557182318</v>
      </c>
      <c r="AL53" s="22">
        <f t="shared" si="4"/>
        <v>480.57409762875909</v>
      </c>
      <c r="AM53" s="62">
        <f t="shared" si="5"/>
        <v>773.90743096209235</v>
      </c>
      <c r="AN53" s="62">
        <f ca="1">AVERAGE(OFFSET($AM$3,0,0,'Données projet'!$E$10+1,1))-AVERAGE(OFFSET($H$3,0,0,'Données projet'!$E$10+1,1))</f>
        <v>886.54265074144564</v>
      </c>
      <c r="AO53" s="62">
        <f t="shared" si="36"/>
        <v>254.8922423500004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100.2</v>
      </c>
      <c r="BB53" s="13">
        <f>VLOOKUP(A53,'Données projet'!$A$87:$I$107,9,0)</f>
        <v>2.7700000000000005</v>
      </c>
      <c r="BC53" s="13">
        <f t="array" ref="BC53">INDEX(BB:BB,MIN(IF(ISNUMBER(BB53:BB249),ROW(BB53:BB249),"")))</f>
        <v>2.7700000000000005</v>
      </c>
      <c r="BD53" s="13">
        <f>IF('Données projet'!$A$88&gt;35,BD52+BC53-BL52,IF(A53&lt;'Données projet'!$A$88,$BA$205^A53,IF(A53='Données projet'!$A$88,'Données projet'!$B$88,BD52+BC53-BL52)))</f>
        <v>100.19999999999996</v>
      </c>
      <c r="BE53" s="14">
        <f>BD53*VLOOKUP('Données projet'!$B$11,Paramètres!$A$1:$I$89,3,0)*VLOOKUP('Données projet'!$B$11,Paramètres!$A$1:$I$89,5,0)</f>
        <v>115.43039999999995</v>
      </c>
      <c r="BF53" s="14">
        <f t="shared" si="37"/>
        <v>30.60681892186415</v>
      </c>
      <c r="BG53" s="22">
        <f t="shared" si="7"/>
        <v>254.34815628891332</v>
      </c>
      <c r="BH53" s="62">
        <f t="shared" si="8"/>
        <v>547.68148962224666</v>
      </c>
      <c r="BI53" s="62">
        <f ca="1">AVERAGE(OFFSET($BH$3,0,0,'Données projet'!$E$11+1,1))-AVERAGE(OFFSET($H$3,0,0,'Données projet'!$E$11+1,1))</f>
        <v>165.98015798223548</v>
      </c>
      <c r="BJ53" s="62">
        <f t="shared" si="38"/>
        <v>143.97979034100706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12.6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198.6816</v>
      </c>
      <c r="CA53" s="14">
        <f t="shared" si="39"/>
        <v>49.454311874015559</v>
      </c>
      <c r="CB53" s="22">
        <f t="shared" si="10"/>
        <v>432.17004651391039</v>
      </c>
      <c r="CC53" s="62">
        <f t="shared" si="11"/>
        <v>725.50337984724365</v>
      </c>
      <c r="CD53" s="62">
        <f ca="1">AVERAGE(OFFSET($CC$3,0,0,'Données projet'!$E$12+1,1))-AVERAGE(OFFSET($H$3,0,0,'Données projet'!$E$12+1,1))</f>
        <v>335.16942824912076</v>
      </c>
      <c r="CE53" s="62">
        <f t="shared" si="40"/>
        <v>190.00559730122677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152.63300189110146</v>
      </c>
      <c r="T54" s="62">
        <f t="shared" si="34"/>
        <v>236.66430374499453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8.904264170399383</v>
      </c>
      <c r="AA54" s="23">
        <f>EXP(-LN(2)/25)*AA53+(1-EXP(-LN(2)/25))/(LN(2)/25)*Calculateur!V54*Calculateur!X54*VLOOKUP('Données projet'!$B$9,Paramètres!$A$1:$I$89,3,0)*0.475*44/12</f>
        <v>5.4698112828707837</v>
      </c>
      <c r="AB54" s="23">
        <f>EXP(-LN(2)/2)*AB53+(1-EXP(-LN(2)/2))/(LN(2)/2)*V54*Y54*VLOOKUP('Données projet'!$B$9,Paramètres!$A$1:$I$89,3,0)*0.475*44/12</f>
        <v>2.0212020922030149E-3</v>
      </c>
      <c r="AC54" s="24">
        <f t="shared" si="3"/>
        <v>14.376096655362369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6.7354000000000003</v>
      </c>
      <c r="AI54" s="14">
        <f>IF('Données projet'!$A$62&gt;35,AI53+AH54-AQ53,IF(A54&lt;'Données projet'!$A$62,$AF$205^A54,IF(A54='Données projet'!$A$62,'Données projet'!$B$62,AI53+AH54-AQ53)))</f>
        <v>209.56439999999992</v>
      </c>
      <c r="AJ54" s="14">
        <f>AI54*VLOOKUP('Données projet'!$B$10,Paramètres!$A$1:$I$89,3,0)*VLOOKUP('Données projet'!$B$10,Paramètres!$A$1:$I$89,5,0)</f>
        <v>228.8443247999999</v>
      </c>
      <c r="AK54" s="14">
        <f t="shared" si="35"/>
        <v>56.03272432111148</v>
      </c>
      <c r="AL54" s="22">
        <f t="shared" si="4"/>
        <v>496.16086055260229</v>
      </c>
      <c r="AM54" s="62">
        <f t="shared" si="5"/>
        <v>789.4941938859356</v>
      </c>
      <c r="AN54" s="62">
        <f ca="1">AVERAGE(OFFSET($AM$3,0,0,'Données projet'!$E$10+1,1))-AVERAGE(OFFSET($H$3,0,0,'Données projet'!$E$10+1,1))</f>
        <v>886.54265074144564</v>
      </c>
      <c r="AO54" s="62">
        <f t="shared" si="36"/>
        <v>254.8922423500004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2.569999999999999</v>
      </c>
      <c r="BD54" s="13">
        <f>IF('Données projet'!$A$88&gt;35,BD53+BC54-BL53,IF(A54&lt;'Données projet'!$A$88,$BA$205^A54,IF(A54='Données projet'!$A$88,'Données projet'!$B$88,BD53+BC54-BL53)))</f>
        <v>90.169999999999959</v>
      </c>
      <c r="BE54" s="14">
        <f>BD54*VLOOKUP('Données projet'!$B$11,Paramètres!$A$1:$I$89,3,0)*VLOOKUP('Données projet'!$B$11,Paramètres!$A$1:$I$89,5,0)</f>
        <v>103.87583999999994</v>
      </c>
      <c r="BF54" s="14">
        <f t="shared" si="37"/>
        <v>27.883309550805201</v>
      </c>
      <c r="BG54" s="22">
        <f t="shared" si="7"/>
        <v>229.48051880098561</v>
      </c>
      <c r="BH54" s="62">
        <f t="shared" si="8"/>
        <v>522.81385213431895</v>
      </c>
      <c r="BI54" s="62">
        <f ca="1">AVERAGE(OFFSET($BH$3,0,0,'Données projet'!$E$11+1,1))-AVERAGE(OFFSET($H$3,0,0,'Données projet'!$E$11+1,1))</f>
        <v>165.98015798223548</v>
      </c>
      <c r="BJ54" s="62">
        <f t="shared" si="38"/>
        <v>143.97979034100706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164.73600000000002</v>
      </c>
      <c r="CA54" s="14">
        <f t="shared" si="39"/>
        <v>41.908913144700328</v>
      </c>
      <c r="CB54" s="22">
        <f t="shared" si="10"/>
        <v>359.90655706035312</v>
      </c>
      <c r="CC54" s="62">
        <f t="shared" si="11"/>
        <v>653.23989039368644</v>
      </c>
      <c r="CD54" s="62">
        <f ca="1">AVERAGE(OFFSET($CC$3,0,0,'Données projet'!$E$12+1,1))-AVERAGE(OFFSET($H$3,0,0,'Données projet'!$E$12+1,1))</f>
        <v>335.16942824912076</v>
      </c>
      <c r="CE54" s="62">
        <f t="shared" si="40"/>
        <v>190.00559730122677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152.63300189110146</v>
      </c>
      <c r="T55" s="62">
        <f t="shared" si="34"/>
        <v>236.66430374499453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8.7296569810827211</v>
      </c>
      <c r="AA55" s="23">
        <f>EXP(-LN(2)/25)*AA54+(1-EXP(-LN(2)/25))/(LN(2)/25)*Calculateur!V55*Calculateur!X55*VLOOKUP('Données projet'!$B$9,Paramètres!$A$1:$I$89,3,0)*0.475*44/12</f>
        <v>5.3202390056958082</v>
      </c>
      <c r="AB55" s="23">
        <f>EXP(-LN(2)/2)*AB54+(1-EXP(-LN(2)/2))/(LN(2)/2)*V55*Y55*VLOOKUP('Données projet'!$B$9,Paramètres!$A$1:$I$89,3,0)*0.475*44/12</f>
        <v>1.4292057055451893E-3</v>
      </c>
      <c r="AC55" s="24">
        <f t="shared" si="3"/>
        <v>14.051325192484075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6.7354000000000003</v>
      </c>
      <c r="AI55" s="14">
        <f>IF('Données projet'!$A$62&gt;35,AI54+AH55-AQ54,IF(A55&lt;'Données projet'!$A$62,$AF$205^A55,IF(A55='Données projet'!$A$62,'Données projet'!$B$62,AI54+AH55-AQ54)))</f>
        <v>216.29979999999992</v>
      </c>
      <c r="AJ55" s="14">
        <f>AI55*VLOOKUP('Données projet'!$B$10,Paramètres!$A$1:$I$89,3,0)*VLOOKUP('Données projet'!$B$10,Paramètres!$A$1:$I$89,5,0)</f>
        <v>236.1993815999999</v>
      </c>
      <c r="AK55" s="14">
        <f t="shared" si="35"/>
        <v>57.621050787190413</v>
      </c>
      <c r="AL55" s="22">
        <f t="shared" si="4"/>
        <v>511.73725307435643</v>
      </c>
      <c r="AM55" s="62">
        <f t="shared" si="5"/>
        <v>805.07058640768969</v>
      </c>
      <c r="AN55" s="62">
        <f ca="1">AVERAGE(OFFSET($AM$3,0,0,'Données projet'!$E$10+1,1))-AVERAGE(OFFSET($H$3,0,0,'Données projet'!$E$10+1,1))</f>
        <v>886.54265074144564</v>
      </c>
      <c r="AO55" s="62">
        <f t="shared" si="36"/>
        <v>254.8922423500004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2.569999999999999</v>
      </c>
      <c r="BD55" s="13">
        <f>IF('Données projet'!$A$88&gt;35,BD54+BC55-BL54,IF(A55&lt;'Données projet'!$A$88,$BA$205^A55,IF(A55='Données projet'!$A$88,'Données projet'!$B$88,BD54+BC55-BL54)))</f>
        <v>92.739999999999952</v>
      </c>
      <c r="BE55" s="14">
        <f>BD55*VLOOKUP('Données projet'!$B$11,Paramètres!$A$1:$I$89,3,0)*VLOOKUP('Données projet'!$B$11,Paramètres!$A$1:$I$89,5,0)</f>
        <v>106.83647999999995</v>
      </c>
      <c r="BF55" s="14">
        <f t="shared" si="37"/>
        <v>28.584373468290107</v>
      </c>
      <c r="BG55" s="22">
        <f t="shared" si="7"/>
        <v>235.85798645727183</v>
      </c>
      <c r="BH55" s="62">
        <f t="shared" si="8"/>
        <v>529.19131979060512</v>
      </c>
      <c r="BI55" s="62">
        <f ca="1">AVERAGE(OFFSET($BH$3,0,0,'Données projet'!$E$11+1,1))-AVERAGE(OFFSET($H$3,0,0,'Données projet'!$E$11+1,1))</f>
        <v>165.98015798223548</v>
      </c>
      <c r="BJ55" s="62">
        <f t="shared" si="38"/>
        <v>143.97979034100706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172.72319999999999</v>
      </c>
      <c r="CA55" s="14">
        <f t="shared" si="39"/>
        <v>43.699364544602702</v>
      </c>
      <c r="CB55" s="22">
        <f t="shared" si="10"/>
        <v>376.9359665818497</v>
      </c>
      <c r="CC55" s="62">
        <f t="shared" si="11"/>
        <v>670.26929991518296</v>
      </c>
      <c r="CD55" s="62">
        <f ca="1">AVERAGE(OFFSET($CC$3,0,0,'Données projet'!$E$12+1,1))-AVERAGE(OFFSET($H$3,0,0,'Données projet'!$E$12+1,1))</f>
        <v>335.16942824912076</v>
      </c>
      <c r="CE55" s="62">
        <f t="shared" si="40"/>
        <v>190.00559730122677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152.63300189110146</v>
      </c>
      <c r="T56" s="62">
        <f t="shared" si="34"/>
        <v>236.66430374499453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8.5584737322486895</v>
      </c>
      <c r="AA56" s="23">
        <f>EXP(-LN(2)/25)*AA55+(1-EXP(-LN(2)/25))/(LN(2)/25)*Calculateur!V56*Calculateur!X56*VLOOKUP('Données projet'!$B$9,Paramètres!$A$1:$I$89,3,0)*0.475*44/12</f>
        <v>5.1747567903058469</v>
      </c>
      <c r="AB56" s="23">
        <f>EXP(-LN(2)/2)*AB55+(1-EXP(-LN(2)/2))/(LN(2)/2)*V56*Y56*VLOOKUP('Données projet'!$B$9,Paramètres!$A$1:$I$89,3,0)*0.475*44/12</f>
        <v>1.0106010461015075E-3</v>
      </c>
      <c r="AC56" s="24">
        <f t="shared" si="3"/>
        <v>13.734241123600636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6.7354000000000003</v>
      </c>
      <c r="AI56" s="14">
        <f>IF('Données projet'!$A$62&gt;35,AI55+AH56-AQ55,IF(A56&lt;'Données projet'!$A$62,$AF$205^A56,IF(A56='Données projet'!$A$62,'Données projet'!$B$62,AI55+AH56-AQ55)))</f>
        <v>223.03519999999992</v>
      </c>
      <c r="AJ56" s="14">
        <f>AI56*VLOOKUP('Données projet'!$B$10,Paramètres!$A$1:$I$89,3,0)*VLOOKUP('Données projet'!$B$10,Paramètres!$A$1:$I$89,5,0)</f>
        <v>243.55443839999992</v>
      </c>
      <c r="AK56" s="14">
        <f t="shared" si="35"/>
        <v>59.203629642462417</v>
      </c>
      <c r="AL56" s="22">
        <f t="shared" si="4"/>
        <v>527.30363517395529</v>
      </c>
      <c r="AM56" s="62">
        <f t="shared" si="5"/>
        <v>820.63696850728866</v>
      </c>
      <c r="AN56" s="62">
        <f ca="1">AVERAGE(OFFSET($AM$3,0,0,'Données projet'!$E$10+1,1))-AVERAGE(OFFSET($H$3,0,0,'Données projet'!$E$10+1,1))</f>
        <v>886.54265074144564</v>
      </c>
      <c r="AO56" s="62">
        <f t="shared" si="36"/>
        <v>254.8922423500004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2.569999999999999</v>
      </c>
      <c r="BD56" s="13">
        <f>IF('Données projet'!$A$88&gt;35,BD55+BC56-BL55,IF(A56&lt;'Données projet'!$A$88,$BA$205^A56,IF(A56='Données projet'!$A$88,'Données projet'!$B$88,BD55+BC56-BL55)))</f>
        <v>95.309999999999945</v>
      </c>
      <c r="BE56" s="14">
        <f>BD56*VLOOKUP('Données projet'!$B$11,Paramètres!$A$1:$I$89,3,0)*VLOOKUP('Données projet'!$B$11,Paramètres!$A$1:$I$89,5,0)</f>
        <v>109.79711999999994</v>
      </c>
      <c r="BF56" s="14">
        <f t="shared" si="37"/>
        <v>29.283179327670684</v>
      </c>
      <c r="BG56" s="22">
        <f t="shared" si="7"/>
        <v>242.23152132902632</v>
      </c>
      <c r="BH56" s="62">
        <f t="shared" si="8"/>
        <v>535.56485466235961</v>
      </c>
      <c r="BI56" s="62">
        <f ca="1">AVERAGE(OFFSET($BH$3,0,0,'Données projet'!$E$11+1,1))-AVERAGE(OFFSET($H$3,0,0,'Données projet'!$E$11+1,1))</f>
        <v>165.98015798223548</v>
      </c>
      <c r="BJ56" s="62">
        <f t="shared" si="38"/>
        <v>143.97979034100706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180.71040000000002</v>
      </c>
      <c r="CA56" s="14">
        <f t="shared" si="39"/>
        <v>45.480200827766055</v>
      </c>
      <c r="CB56" s="22">
        <f t="shared" si="10"/>
        <v>393.94862977502589</v>
      </c>
      <c r="CC56" s="62">
        <f t="shared" si="11"/>
        <v>687.28196310835915</v>
      </c>
      <c r="CD56" s="62">
        <f ca="1">AVERAGE(OFFSET($CC$3,0,0,'Données projet'!$E$12+1,1))-AVERAGE(OFFSET($H$3,0,0,'Données projet'!$E$12+1,1))</f>
        <v>335.16942824912076</v>
      </c>
      <c r="CE56" s="62">
        <f t="shared" si="40"/>
        <v>190.00559730122677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152.63300189110146</v>
      </c>
      <c r="T57" s="62">
        <f t="shared" si="34"/>
        <v>236.66430374499453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8.3906472825128215</v>
      </c>
      <c r="AA57" s="23">
        <f>EXP(-LN(2)/25)*AA56+(1-EXP(-LN(2)/25))/(LN(2)/25)*Calculateur!V57*Calculateur!X57*VLOOKUP('Données projet'!$B$9,Paramètres!$A$1:$I$89,3,0)*0.475*44/12</f>
        <v>5.0332527937463007</v>
      </c>
      <c r="AB57" s="23">
        <f>EXP(-LN(2)/2)*AB56+(1-EXP(-LN(2)/2))/(LN(2)/2)*V57*Y57*VLOOKUP('Données projet'!$B$9,Paramètres!$A$1:$I$89,3,0)*0.475*44/12</f>
        <v>7.1460285277259467E-4</v>
      </c>
      <c r="AC57" s="24">
        <f t="shared" si="3"/>
        <v>13.424614679111896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6.7354000000000003</v>
      </c>
      <c r="AI57" s="14">
        <f>IF('Données projet'!$A$62&gt;35,AI56+AH57-AQ56,IF(A57&lt;'Données projet'!$A$62,$AF$205^A57,IF(A57='Données projet'!$A$62,'Données projet'!$B$62,AI56+AH57-AQ56)))</f>
        <v>229.77059999999992</v>
      </c>
      <c r="AJ57" s="14">
        <f>AI57*VLOOKUP('Données projet'!$B$10,Paramètres!$A$1:$I$89,3,0)*VLOOKUP('Données projet'!$B$10,Paramètres!$A$1:$I$89,5,0)</f>
        <v>250.9094951999999</v>
      </c>
      <c r="AK57" s="14">
        <f t="shared" si="35"/>
        <v>60.780654381139001</v>
      </c>
      <c r="AL57" s="22">
        <f t="shared" si="4"/>
        <v>542.86034385381674</v>
      </c>
      <c r="AM57" s="62">
        <f t="shared" si="5"/>
        <v>836.19367718715012</v>
      </c>
      <c r="AN57" s="62">
        <f ca="1">AVERAGE(OFFSET($AM$3,0,0,'Données projet'!$E$10+1,1))-AVERAGE(OFFSET($H$3,0,0,'Données projet'!$E$10+1,1))</f>
        <v>886.54265074144564</v>
      </c>
      <c r="AO57" s="62">
        <f t="shared" si="36"/>
        <v>254.8922423500004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2.569999999999999</v>
      </c>
      <c r="BD57" s="13">
        <f>IF('Données projet'!$A$88&gt;35,BD56+BC57-BL56,IF(A57&lt;'Données projet'!$A$88,$BA$205^A57,IF(A57='Données projet'!$A$88,'Données projet'!$B$88,BD56+BC57-BL56)))</f>
        <v>97.879999999999939</v>
      </c>
      <c r="BE57" s="14">
        <f>BD57*VLOOKUP('Données projet'!$B$11,Paramètres!$A$1:$I$89,3,0)*VLOOKUP('Données projet'!$B$11,Paramètres!$A$1:$I$89,5,0)</f>
        <v>112.75775999999992</v>
      </c>
      <c r="BF57" s="14">
        <f t="shared" si="37"/>
        <v>29.979795014099427</v>
      </c>
      <c r="BG57" s="22">
        <f t="shared" si="7"/>
        <v>248.60124164955633</v>
      </c>
      <c r="BH57" s="62">
        <f t="shared" si="8"/>
        <v>541.93457498288967</v>
      </c>
      <c r="BI57" s="62">
        <f ca="1">AVERAGE(OFFSET($BH$3,0,0,'Données projet'!$E$11+1,1))-AVERAGE(OFFSET($H$3,0,0,'Données projet'!$E$11+1,1))</f>
        <v>165.98015798223548</v>
      </c>
      <c r="BJ57" s="62">
        <f t="shared" si="38"/>
        <v>143.97979034100706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188.69760000000002</v>
      </c>
      <c r="CA57" s="14">
        <f t="shared" si="39"/>
        <v>47.251895535609734</v>
      </c>
      <c r="CB57" s="22">
        <f t="shared" si="10"/>
        <v>410.94537139118694</v>
      </c>
      <c r="CC57" s="62">
        <f t="shared" si="11"/>
        <v>704.27870472452025</v>
      </c>
      <c r="CD57" s="62">
        <f ca="1">AVERAGE(OFFSET($CC$3,0,0,'Données projet'!$E$12+1,1))-AVERAGE(OFFSET($H$3,0,0,'Données projet'!$E$12+1,1))</f>
        <v>335.16942824912076</v>
      </c>
      <c r="CE57" s="62">
        <f t="shared" si="40"/>
        <v>190.00559730122677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152.63300189110146</v>
      </c>
      <c r="T58" s="62">
        <f t="shared" si="34"/>
        <v>236.66430374499453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8.2261118070922485</v>
      </c>
      <c r="AA58" s="23">
        <f>EXP(-LN(2)/25)*AA57+(1-EXP(-LN(2)/25))/(LN(2)/25)*Calculateur!V58*Calculateur!X58*VLOOKUP('Données projet'!$B$9,Paramètres!$A$1:$I$89,3,0)*0.475*44/12</f>
        <v>4.8956182314140477</v>
      </c>
      <c r="AB58" s="23">
        <f>EXP(-LN(2)/2)*AB57+(1-EXP(-LN(2)/2))/(LN(2)/2)*V58*Y58*VLOOKUP('Données projet'!$B$9,Paramètres!$A$1:$I$89,3,0)*0.475*44/12</f>
        <v>5.0530052305075373E-4</v>
      </c>
      <c r="AC58" s="24">
        <f t="shared" si="3"/>
        <v>13.122235339029347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236.506</v>
      </c>
      <c r="AG58" s="13">
        <f>VLOOKUP(A58,'Données projet'!$A$61:$I$81,9,0)</f>
        <v>6.7354000000000003</v>
      </c>
      <c r="AH58" s="13">
        <f t="array" ref="AH58">INDEX(AG:AG,MIN(IF(ISNUMBER(AG58:AG254),ROW(AG58:AG254),"")))</f>
        <v>6.7354000000000003</v>
      </c>
      <c r="AI58" s="14">
        <f>IF('Données projet'!$A$62&gt;35,AI57+AH58-AQ57,IF(A58&lt;'Données projet'!$A$62,$AF$205^A58,IF(A58='Données projet'!$A$62,'Données projet'!$B$62,AI57+AH58-AQ57)))</f>
        <v>236.50599999999991</v>
      </c>
      <c r="AJ58" s="14">
        <f>AI58*VLOOKUP('Données projet'!$B$10,Paramètres!$A$1:$I$89,3,0)*VLOOKUP('Données projet'!$B$10,Paramètres!$A$1:$I$89,5,0)</f>
        <v>258.26455199999987</v>
      </c>
      <c r="AK58" s="14">
        <f t="shared" si="35"/>
        <v>62.352306508449438</v>
      </c>
      <c r="AL58" s="22">
        <f t="shared" si="4"/>
        <v>558.40769523554923</v>
      </c>
      <c r="AM58" s="62">
        <f t="shared" si="5"/>
        <v>851.74102856888248</v>
      </c>
      <c r="AN58" s="62">
        <f ca="1">AVERAGE(OFFSET($AM$3,0,0,'Données projet'!$E$10+1,1))-AVERAGE(OFFSET($H$3,0,0,'Données projet'!$E$10+1,1))</f>
        <v>886.54265074144564</v>
      </c>
      <c r="AO58" s="62">
        <f t="shared" si="36"/>
        <v>254.8922423500004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26.277999999999999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2.569999999999999</v>
      </c>
      <c r="BD58" s="13">
        <f>IF('Données projet'!$A$88&gt;35,BD57+BC58-BL57,IF(A58&lt;'Données projet'!$A$88,$BA$205^A58,IF(A58='Données projet'!$A$88,'Données projet'!$B$88,BD57+BC58-BL57)))</f>
        <v>100.44999999999993</v>
      </c>
      <c r="BE58" s="14">
        <f>BD58*VLOOKUP('Données projet'!$B$11,Paramètres!$A$1:$I$89,3,0)*VLOOKUP('Données projet'!$B$11,Paramètres!$A$1:$I$89,5,0)</f>
        <v>115.71839999999992</v>
      </c>
      <c r="BF58" s="14">
        <f t="shared" si="37"/>
        <v>30.67428464483309</v>
      </c>
      <c r="BG58" s="22">
        <f t="shared" si="7"/>
        <v>254.96725908975077</v>
      </c>
      <c r="BH58" s="62">
        <f t="shared" si="8"/>
        <v>548.30059242308403</v>
      </c>
      <c r="BI58" s="62">
        <f ca="1">AVERAGE(OFFSET($BH$3,0,0,'Données projet'!$E$11+1,1))-AVERAGE(OFFSET($H$3,0,0,'Données projet'!$E$11+1,1))</f>
        <v>165.98015798223548</v>
      </c>
      <c r="BJ58" s="62">
        <f t="shared" si="38"/>
        <v>143.97979034100706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196.6848</v>
      </c>
      <c r="CA58" s="14">
        <f t="shared" si="39"/>
        <v>49.014879853762629</v>
      </c>
      <c r="CB58" s="22">
        <f t="shared" si="10"/>
        <v>427.92694241196983</v>
      </c>
      <c r="CC58" s="62">
        <f t="shared" si="11"/>
        <v>721.26027574530315</v>
      </c>
      <c r="CD58" s="62">
        <f ca="1">AVERAGE(OFFSET($CC$3,0,0,'Données projet'!$E$12+1,1))-AVERAGE(OFFSET($H$3,0,0,'Données projet'!$E$12+1,1))</f>
        <v>335.16942824912076</v>
      </c>
      <c r="CE58" s="62">
        <f t="shared" si="40"/>
        <v>190.00559730122677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152.63300189110146</v>
      </c>
      <c r="T59" s="62">
        <f t="shared" si="34"/>
        <v>236.66430374499453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8.0648027719879423</v>
      </c>
      <c r="AA59" s="23">
        <f>EXP(-LN(2)/25)*AA58+(1-EXP(-LN(2)/25))/(LN(2)/25)*Calculateur!V59*Calculateur!X59*VLOOKUP('Données projet'!$B$9,Paramètres!$A$1:$I$89,3,0)*0.475*44/12</f>
        <v>4.7617472934266569</v>
      </c>
      <c r="AB59" s="23">
        <f>EXP(-LN(2)/2)*AB58+(1-EXP(-LN(2)/2))/(LN(2)/2)*V59*Y59*VLOOKUP('Données projet'!$B$9,Paramètres!$A$1:$I$89,3,0)*0.475*44/12</f>
        <v>3.5730142638629734E-4</v>
      </c>
      <c r="AC59" s="24">
        <f t="shared" si="3"/>
        <v>12.826907366840986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7.0604666666666658</v>
      </c>
      <c r="AI59" s="14">
        <f>IF('Données projet'!$A$62&gt;35,AI58+AH59-AQ58,IF(A59&lt;'Données projet'!$A$62,$AF$205^A59,IF(A59='Données projet'!$A$62,'Données projet'!$B$62,AI58+AH59-AQ58)))</f>
        <v>217.28846666666658</v>
      </c>
      <c r="AJ59" s="14">
        <f>AI59*VLOOKUP('Données projet'!$B$10,Paramètres!$A$1:$I$89,3,0)*VLOOKUP('Données projet'!$B$10,Paramètres!$A$1:$I$89,5,0)</f>
        <v>237.27900559999989</v>
      </c>
      <c r="AK59" s="14">
        <f t="shared" si="35"/>
        <v>57.853707348150998</v>
      </c>
      <c r="AL59" s="22">
        <f t="shared" si="4"/>
        <v>514.02280838469608</v>
      </c>
      <c r="AM59" s="62">
        <f t="shared" si="5"/>
        <v>807.35614171802945</v>
      </c>
      <c r="AN59" s="62">
        <f ca="1">AVERAGE(OFFSET($AM$3,0,0,'Données projet'!$E$10+1,1))-AVERAGE(OFFSET($H$3,0,0,'Données projet'!$E$10+1,1))</f>
        <v>886.54265074144564</v>
      </c>
      <c r="AO59" s="62">
        <f t="shared" si="36"/>
        <v>254.8922423500004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2.569999999999999</v>
      </c>
      <c r="BD59" s="13">
        <f>IF('Données projet'!$A$88&gt;35,BD58+BC59-BL58,IF(A59&lt;'Données projet'!$A$88,$BA$205^A59,IF(A59='Données projet'!$A$88,'Données projet'!$B$88,BD58+BC59-BL58)))</f>
        <v>103.01999999999992</v>
      </c>
      <c r="BE59" s="14">
        <f>BD59*VLOOKUP('Données projet'!$B$11,Paramètres!$A$1:$I$89,3,0)*VLOOKUP('Données projet'!$B$11,Paramètres!$A$1:$I$89,5,0)</f>
        <v>118.6790399999999</v>
      </c>
      <c r="BF59" s="14">
        <f t="shared" si="37"/>
        <v>31.366708869342357</v>
      </c>
      <c r="BG59" s="22">
        <f t="shared" si="7"/>
        <v>261.32967928077107</v>
      </c>
      <c r="BH59" s="62">
        <f t="shared" si="8"/>
        <v>554.66301261410445</v>
      </c>
      <c r="BI59" s="62">
        <f ca="1">AVERAGE(OFFSET($BH$3,0,0,'Données projet'!$E$11+1,1))-AVERAGE(OFFSET($H$3,0,0,'Données projet'!$E$11+1,1))</f>
        <v>165.98015798223548</v>
      </c>
      <c r="BJ59" s="62">
        <f t="shared" si="38"/>
        <v>143.97979034100706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204.27264</v>
      </c>
      <c r="CA59" s="14">
        <f t="shared" si="39"/>
        <v>50.682006364585817</v>
      </c>
      <c r="CB59" s="22">
        <f t="shared" si="10"/>
        <v>444.04600908498691</v>
      </c>
      <c r="CC59" s="62">
        <f t="shared" si="11"/>
        <v>737.37934241832022</v>
      </c>
      <c r="CD59" s="62">
        <f ca="1">AVERAGE(OFFSET($CC$3,0,0,'Données projet'!$E$12+1,1))-AVERAGE(OFFSET($H$3,0,0,'Données projet'!$E$12+1,1))</f>
        <v>335.16942824912076</v>
      </c>
      <c r="CE59" s="62">
        <f t="shared" si="40"/>
        <v>190.00559730122677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152.63300189110146</v>
      </c>
      <c r="T60" s="62">
        <f t="shared" si="34"/>
        <v>236.66430374499453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7.9066569086732343</v>
      </c>
      <c r="AA60" s="23">
        <f>EXP(-LN(2)/25)*AA59+(1-EXP(-LN(2)/25))/(LN(2)/25)*Calculateur!V60*Calculateur!X60*VLOOKUP('Données projet'!$B$9,Paramètres!$A$1:$I$89,3,0)*0.475*44/12</f>
        <v>4.6315370632784978</v>
      </c>
      <c r="AB60" s="23">
        <f>EXP(-LN(2)/2)*AB59+(1-EXP(-LN(2)/2))/(LN(2)/2)*V60*Y60*VLOOKUP('Données projet'!$B$9,Paramètres!$A$1:$I$89,3,0)*0.475*44/12</f>
        <v>2.5265026152537686E-4</v>
      </c>
      <c r="AC60" s="24">
        <f t="shared" si="3"/>
        <v>12.538446622213257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7.0604666666666658</v>
      </c>
      <c r="AI60" s="14">
        <f>IF('Données projet'!$A$62&gt;35,AI59+AH60-AQ59,IF(A60&lt;'Données projet'!$A$62,$AF$205^A60,IF(A60='Données projet'!$A$62,'Données projet'!$B$62,AI59+AH60-AQ59)))</f>
        <v>224.34893333333324</v>
      </c>
      <c r="AJ60" s="14">
        <f>AI60*VLOOKUP('Données projet'!$B$10,Paramètres!$A$1:$I$89,3,0)*VLOOKUP('Données projet'!$B$10,Paramètres!$A$1:$I$89,5,0)</f>
        <v>244.98903519999988</v>
      </c>
      <c r="AK60" s="14">
        <f t="shared" si="35"/>
        <v>59.511656984324098</v>
      </c>
      <c r="AL60" s="22">
        <f t="shared" si="4"/>
        <v>530.3387055543642</v>
      </c>
      <c r="AM60" s="62">
        <f t="shared" si="5"/>
        <v>823.67203888769745</v>
      </c>
      <c r="AN60" s="62">
        <f ca="1">AVERAGE(OFFSET($AM$3,0,0,'Données projet'!$E$10+1,1))-AVERAGE(OFFSET($H$3,0,0,'Données projet'!$E$10+1,1))</f>
        <v>886.54265074144564</v>
      </c>
      <c r="AO60" s="62">
        <f t="shared" si="36"/>
        <v>254.8922423500004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2.569999999999999</v>
      </c>
      <c r="BD60" s="13">
        <f>IF('Données projet'!$A$88&gt;35,BD59+BC60-BL59,IF(A60&lt;'Données projet'!$A$88,$BA$205^A60,IF(A60='Données projet'!$A$88,'Données projet'!$B$88,BD59+BC60-BL59)))</f>
        <v>105.58999999999992</v>
      </c>
      <c r="BE60" s="14">
        <f>BD60*VLOOKUP('Données projet'!$B$11,Paramètres!$A$1:$I$89,3,0)*VLOOKUP('Données projet'!$B$11,Paramètres!$A$1:$I$89,5,0)</f>
        <v>121.63967999999988</v>
      </c>
      <c r="BF60" s="14">
        <f t="shared" si="37"/>
        <v>32.057125138631804</v>
      </c>
      <c r="BG60" s="22">
        <f t="shared" si="7"/>
        <v>267.68860228311689</v>
      </c>
      <c r="BH60" s="62">
        <f t="shared" si="8"/>
        <v>561.02193561645026</v>
      </c>
      <c r="BI60" s="62">
        <f ca="1">AVERAGE(OFFSET($BH$3,0,0,'Données projet'!$E$11+1,1))-AVERAGE(OFFSET($H$3,0,0,'Données projet'!$E$11+1,1))</f>
        <v>165.98015798223548</v>
      </c>
      <c r="BJ60" s="62">
        <f t="shared" si="38"/>
        <v>143.97979034100706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211.86048</v>
      </c>
      <c r="CA60" s="14">
        <f t="shared" si="39"/>
        <v>52.341938444376346</v>
      </c>
      <c r="CB60" s="22">
        <f t="shared" si="10"/>
        <v>460.1525454572888</v>
      </c>
      <c r="CC60" s="62">
        <f t="shared" si="11"/>
        <v>753.48587879062211</v>
      </c>
      <c r="CD60" s="62">
        <f ca="1">AVERAGE(OFFSET($CC$3,0,0,'Données projet'!$E$12+1,1))-AVERAGE(OFFSET($H$3,0,0,'Données projet'!$E$12+1,1))</f>
        <v>335.16942824912076</v>
      </c>
      <c r="CE60" s="62">
        <f t="shared" si="40"/>
        <v>190.00559730122677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152.63300189110146</v>
      </c>
      <c r="T61" s="62">
        <f t="shared" si="34"/>
        <v>236.66430374499453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7.751612189278676</v>
      </c>
      <c r="AA61" s="23">
        <f>EXP(-LN(2)/25)*AA60+(1-EXP(-LN(2)/25))/(LN(2)/25)*Calculateur!V61*Calculateur!X61*VLOOKUP('Données projet'!$B$9,Paramètres!$A$1:$I$89,3,0)*0.475*44/12</f>
        <v>4.504887438721199</v>
      </c>
      <c r="AB61" s="23">
        <f>EXP(-LN(2)/2)*AB60+(1-EXP(-LN(2)/2))/(LN(2)/2)*V61*Y61*VLOOKUP('Données projet'!$B$9,Paramètres!$A$1:$I$89,3,0)*0.475*44/12</f>
        <v>1.7865071319314867E-4</v>
      </c>
      <c r="AC61" s="24">
        <f t="shared" si="3"/>
        <v>12.256678278713069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7.0604666666666658</v>
      </c>
      <c r="AI61" s="14">
        <f>IF('Données projet'!$A$62&gt;35,AI60+AH61-AQ60,IF(A61&lt;'Données projet'!$A$62,$AF$205^A61,IF(A61='Données projet'!$A$62,'Données projet'!$B$62,AI60+AH61-AQ60)))</f>
        <v>231.40939999999989</v>
      </c>
      <c r="AJ61" s="14">
        <f>AI61*VLOOKUP('Données projet'!$B$10,Paramètres!$A$1:$I$89,3,0)*VLOOKUP('Données projet'!$B$10,Paramètres!$A$1:$I$89,5,0)</f>
        <v>252.69906479999989</v>
      </c>
      <c r="AK61" s="14">
        <f t="shared" si="35"/>
        <v>61.163543248062318</v>
      </c>
      <c r="AL61" s="22">
        <f t="shared" si="4"/>
        <v>546.644042350375</v>
      </c>
      <c r="AM61" s="62">
        <f t="shared" si="5"/>
        <v>839.97737568370826</v>
      </c>
      <c r="AN61" s="62">
        <f ca="1">AVERAGE(OFFSET($AM$3,0,0,'Données projet'!$E$10+1,1))-AVERAGE(OFFSET($H$3,0,0,'Données projet'!$E$10+1,1))</f>
        <v>886.54265074144564</v>
      </c>
      <c r="AO61" s="62">
        <f t="shared" si="36"/>
        <v>254.8922423500004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2.569999999999999</v>
      </c>
      <c r="BD61" s="13">
        <f>IF('Données projet'!$A$88&gt;35,BD60+BC61-BL60,IF(A61&lt;'Données projet'!$A$88,$BA$205^A61,IF(A61='Données projet'!$A$88,'Données projet'!$B$88,BD60+BC61-BL60)))</f>
        <v>108.15999999999991</v>
      </c>
      <c r="BE61" s="14">
        <f>BD61*VLOOKUP('Données projet'!$B$11,Paramètres!$A$1:$I$89,3,0)*VLOOKUP('Données projet'!$B$11,Paramètres!$A$1:$I$89,5,0)</f>
        <v>124.60031999999988</v>
      </c>
      <c r="BF61" s="14">
        <f t="shared" si="37"/>
        <v>32.745587947600903</v>
      </c>
      <c r="BG61" s="22">
        <f t="shared" si="7"/>
        <v>274.04412300873804</v>
      </c>
      <c r="BH61" s="62">
        <f t="shared" si="8"/>
        <v>567.37745634207135</v>
      </c>
      <c r="BI61" s="62">
        <f ca="1">AVERAGE(OFFSET($BH$3,0,0,'Données projet'!$E$11+1,1))-AVERAGE(OFFSET($H$3,0,0,'Données projet'!$E$11+1,1))</f>
        <v>165.98015798223548</v>
      </c>
      <c r="BJ61" s="62">
        <f t="shared" si="38"/>
        <v>143.97979034100706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219.44832</v>
      </c>
      <c r="CA61" s="14">
        <f t="shared" si="39"/>
        <v>53.994963282531728</v>
      </c>
      <c r="CB61" s="22">
        <f t="shared" si="10"/>
        <v>476.24705171707609</v>
      </c>
      <c r="CC61" s="62">
        <f t="shared" si="11"/>
        <v>769.5803850504094</v>
      </c>
      <c r="CD61" s="62">
        <f ca="1">AVERAGE(OFFSET($CC$3,0,0,'Données projet'!$E$12+1,1))-AVERAGE(OFFSET($H$3,0,0,'Données projet'!$E$12+1,1))</f>
        <v>335.16942824912076</v>
      </c>
      <c r="CE61" s="62">
        <f t="shared" si="40"/>
        <v>190.00559730122677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152.63300189110146</v>
      </c>
      <c r="T62" s="62">
        <f t="shared" si="34"/>
        <v>236.66430374499453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7.5996078022635034</v>
      </c>
      <c r="AA62" s="23">
        <f>EXP(-LN(2)/25)*AA61+(1-EXP(-LN(2)/25))/(LN(2)/25)*Calculateur!V62*Calculateur!X62*VLOOKUP('Données projet'!$B$9,Paramètres!$A$1:$I$89,3,0)*0.475*44/12</f>
        <v>4.3817010548076336</v>
      </c>
      <c r="AB62" s="23">
        <f>EXP(-LN(2)/2)*AB61+(1-EXP(-LN(2)/2))/(LN(2)/2)*V62*Y62*VLOOKUP('Données projet'!$B$9,Paramètres!$A$1:$I$89,3,0)*0.475*44/12</f>
        <v>1.2632513076268843E-4</v>
      </c>
      <c r="AC62" s="24">
        <f t="shared" si="3"/>
        <v>11.981435182201901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7.0604666666666658</v>
      </c>
      <c r="AI62" s="14">
        <f>IF('Données projet'!$A$62&gt;35,AI61+AH62-AQ61,IF(A62&lt;'Données projet'!$A$62,$AF$205^A62,IF(A62='Données projet'!$A$62,'Données projet'!$B$62,AI61+AH62-AQ61)))</f>
        <v>238.46986666666655</v>
      </c>
      <c r="AJ62" s="14">
        <f>AI62*VLOOKUP('Données projet'!$B$10,Paramètres!$A$1:$I$89,3,0)*VLOOKUP('Données projet'!$B$10,Paramètres!$A$1:$I$89,5,0)</f>
        <v>260.40909439999984</v>
      </c>
      <c r="AK62" s="14">
        <f t="shared" si="35"/>
        <v>62.809572369545222</v>
      </c>
      <c r="AL62" s="22">
        <f t="shared" si="4"/>
        <v>562.93917795695768</v>
      </c>
      <c r="AM62" s="62">
        <f t="shared" si="5"/>
        <v>856.27251129029105</v>
      </c>
      <c r="AN62" s="62">
        <f ca="1">AVERAGE(OFFSET($AM$3,0,0,'Données projet'!$E$10+1,1))-AVERAGE(OFFSET($H$3,0,0,'Données projet'!$E$10+1,1))</f>
        <v>886.54265074144564</v>
      </c>
      <c r="AO62" s="62">
        <f t="shared" si="36"/>
        <v>254.8922423500004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2.569999999999999</v>
      </c>
      <c r="BD62" s="13">
        <f>IF('Données projet'!$A$88&gt;35,BD61+BC62-BL61,IF(A62&lt;'Données projet'!$A$88,$BA$205^A62,IF(A62='Données projet'!$A$88,'Données projet'!$B$88,BD61+BC62-BL61)))</f>
        <v>110.7299999999999</v>
      </c>
      <c r="BE62" s="14">
        <f>BD62*VLOOKUP('Données projet'!$B$11,Paramètres!$A$1:$I$89,3,0)*VLOOKUP('Données projet'!$B$11,Paramètres!$A$1:$I$89,5,0)</f>
        <v>127.56095999999988</v>
      </c>
      <c r="BF62" s="14">
        <f t="shared" si="37"/>
        <v>33.432149053721453</v>
      </c>
      <c r="BG62" s="22">
        <f t="shared" si="7"/>
        <v>280.396331601898</v>
      </c>
      <c r="BH62" s="62">
        <f t="shared" si="8"/>
        <v>573.72966493523131</v>
      </c>
      <c r="BI62" s="62">
        <f ca="1">AVERAGE(OFFSET($BH$3,0,0,'Données projet'!$E$11+1,1))-AVERAGE(OFFSET($H$3,0,0,'Données projet'!$E$11+1,1))</f>
        <v>165.98015798223548</v>
      </c>
      <c r="BJ62" s="62">
        <f t="shared" si="38"/>
        <v>143.97979034100706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227.03616000000002</v>
      </c>
      <c r="CA62" s="14">
        <f t="shared" si="39"/>
        <v>55.641347081855507</v>
      </c>
      <c r="CB62" s="22">
        <f t="shared" si="10"/>
        <v>492.32999150089842</v>
      </c>
      <c r="CC62" s="62">
        <f t="shared" si="11"/>
        <v>785.66332483423173</v>
      </c>
      <c r="CD62" s="62">
        <f ca="1">AVERAGE(OFFSET($CC$3,0,0,'Données projet'!$E$12+1,1))-AVERAGE(OFFSET($H$3,0,0,'Données projet'!$E$12+1,1))</f>
        <v>335.16942824912076</v>
      </c>
      <c r="CE62" s="62">
        <f t="shared" si="40"/>
        <v>190.00559730122677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152.63300189110146</v>
      </c>
      <c r="T63" s="62">
        <f t="shared" si="34"/>
        <v>236.66430374499453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7.4505841285641772</v>
      </c>
      <c r="AA63" s="23">
        <f>EXP(-LN(2)/25)*AA62+(1-EXP(-LN(2)/25))/(LN(2)/25)*Calculateur!V63*Calculateur!X63*VLOOKUP('Données projet'!$B$9,Paramètres!$A$1:$I$89,3,0)*0.475*44/12</f>
        <v>4.261883209040275</v>
      </c>
      <c r="AB63" s="23">
        <f>EXP(-LN(2)/2)*AB62+(1-EXP(-LN(2)/2))/(LN(2)/2)*V63*Y63*VLOOKUP('Données projet'!$B$9,Paramètres!$A$1:$I$89,3,0)*0.475*44/12</f>
        <v>8.9325356596574334E-5</v>
      </c>
      <c r="AC63" s="24">
        <f t="shared" si="3"/>
        <v>11.712556662961047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7.0604666666666658</v>
      </c>
      <c r="AI63" s="14">
        <f>IF('Données projet'!$A$62&gt;35,AI62+AH63-AQ62,IF(A63&lt;'Données projet'!$A$62,$AF$205^A63,IF(A63='Données projet'!$A$62,'Données projet'!$B$62,AI62+AH63-AQ62)))</f>
        <v>245.5303333333332</v>
      </c>
      <c r="AJ63" s="14">
        <f>AI63*VLOOKUP('Données projet'!$B$10,Paramètres!$A$1:$I$89,3,0)*VLOOKUP('Données projet'!$B$10,Paramètres!$A$1:$I$89,5,0)</f>
        <v>268.11912399999989</v>
      </c>
      <c r="AK63" s="14">
        <f t="shared" si="35"/>
        <v>64.449937672884232</v>
      </c>
      <c r="AL63" s="22">
        <f t="shared" si="4"/>
        <v>579.22444908027319</v>
      </c>
      <c r="AM63" s="62">
        <f t="shared" si="5"/>
        <v>872.55778241360645</v>
      </c>
      <c r="AN63" s="62">
        <f ca="1">AVERAGE(OFFSET($AM$3,0,0,'Données projet'!$E$10+1,1))-AVERAGE(OFFSET($H$3,0,0,'Données projet'!$E$10+1,1))</f>
        <v>886.54265074144564</v>
      </c>
      <c r="AO63" s="62">
        <f t="shared" si="36"/>
        <v>254.8922423500004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113.3</v>
      </c>
      <c r="BB63" s="13">
        <f>VLOOKUP(A63,'Données projet'!$A$87:$I$107,9,0)</f>
        <v>2.569999999999999</v>
      </c>
      <c r="BC63" s="13">
        <f t="array" ref="BC63">INDEX(BB:BB,MIN(IF(ISNUMBER(BB63:BB259),ROW(BB63:BB259),"")))</f>
        <v>2.569999999999999</v>
      </c>
      <c r="BD63" s="13">
        <f>IF('Données projet'!$A$88&gt;35,BD62+BC63-BL62,IF(A63&lt;'Données projet'!$A$88,$BA$205^A63,IF(A63='Données projet'!$A$88,'Données projet'!$B$88,BD62+BC63-BL62)))</f>
        <v>113.2999999999999</v>
      </c>
      <c r="BE63" s="14">
        <f>BD63*VLOOKUP('Données projet'!$B$11,Paramètres!$A$1:$I$89,3,0)*VLOOKUP('Données projet'!$B$11,Paramètres!$A$1:$I$89,5,0)</f>
        <v>130.52159999999986</v>
      </c>
      <c r="BF63" s="14">
        <f t="shared" si="37"/>
        <v>34.116857674840837</v>
      </c>
      <c r="BG63" s="22">
        <f t="shared" si="7"/>
        <v>286.7453137836809</v>
      </c>
      <c r="BH63" s="62">
        <f t="shared" si="8"/>
        <v>580.07864711701427</v>
      </c>
      <c r="BI63" s="62">
        <f ca="1">AVERAGE(OFFSET($BH$3,0,0,'Données projet'!$E$11+1,1))-AVERAGE(OFFSET($H$3,0,0,'Données projet'!$E$11+1,1))</f>
        <v>165.98015798223548</v>
      </c>
      <c r="BJ63" s="62">
        <f t="shared" si="38"/>
        <v>143.97979034100706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13.2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234.62399999999997</v>
      </c>
      <c r="CA63" s="14">
        <f t="shared" si="39"/>
        <v>57.281337241812707</v>
      </c>
      <c r="CB63" s="22">
        <f t="shared" si="10"/>
        <v>508.40179569615708</v>
      </c>
      <c r="CC63" s="62">
        <f t="shared" si="11"/>
        <v>801.73512902949039</v>
      </c>
      <c r="CD63" s="62">
        <f ca="1">AVERAGE(OFFSET($CC$3,0,0,'Données projet'!$E$12+1,1))-AVERAGE(OFFSET($H$3,0,0,'Données projet'!$E$12+1,1))</f>
        <v>335.16942824912076</v>
      </c>
      <c r="CE63" s="62">
        <f t="shared" si="40"/>
        <v>190.00559730122677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152.63300189110146</v>
      </c>
      <c r="T64" s="62">
        <f t="shared" si="34"/>
        <v>236.66430374499453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7.3044827182106289</v>
      </c>
      <c r="AA64" s="23">
        <f>EXP(-LN(2)/25)*AA63+(1-EXP(-LN(2)/25))/(LN(2)/25)*Calculateur!V64*Calculateur!X64*VLOOKUP('Données projet'!$B$9,Paramètres!$A$1:$I$89,3,0)*0.475*44/12</f>
        <v>4.1453417885663715</v>
      </c>
      <c r="AB64" s="23">
        <f>EXP(-LN(2)/2)*AB63+(1-EXP(-LN(2)/2))/(LN(2)/2)*V64*Y64*VLOOKUP('Données projet'!$B$9,Paramètres!$A$1:$I$89,3,0)*0.475*44/12</f>
        <v>6.3162565381344216E-5</v>
      </c>
      <c r="AC64" s="24">
        <f t="shared" si="3"/>
        <v>11.449887669342381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7.0604666666666658</v>
      </c>
      <c r="AI64" s="14">
        <f>IF('Données projet'!$A$62&gt;35,AI63+AH64-AQ63,IF(A64&lt;'Données projet'!$A$62,$AF$205^A64,IF(A64='Données projet'!$A$62,'Données projet'!$B$62,AI63+AH64-AQ63)))</f>
        <v>252.59079999999986</v>
      </c>
      <c r="AJ64" s="14">
        <f>AI64*VLOOKUP('Données projet'!$B$10,Paramètres!$A$1:$I$89,3,0)*VLOOKUP('Données projet'!$B$10,Paramètres!$A$1:$I$89,5,0)</f>
        <v>275.82915359999981</v>
      </c>
      <c r="AK64" s="14">
        <f t="shared" si="35"/>
        <v>66.084820731413913</v>
      </c>
      <c r="AL64" s="22">
        <f t="shared" si="4"/>
        <v>595.50017196054557</v>
      </c>
      <c r="AM64" s="62">
        <f t="shared" si="5"/>
        <v>888.83350529387894</v>
      </c>
      <c r="AN64" s="62">
        <f ca="1">AVERAGE(OFFSET($AM$3,0,0,'Données projet'!$E$10+1,1))-AVERAGE(OFFSET($H$3,0,0,'Données projet'!$E$10+1,1))</f>
        <v>886.54265074144564</v>
      </c>
      <c r="AO64" s="62">
        <f t="shared" si="36"/>
        <v>254.8922423500004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2.37</v>
      </c>
      <c r="BD64" s="13">
        <f>IF('Données projet'!$A$88&gt;35,BD63+BC64-BL63,IF(A64&lt;'Données projet'!$A$88,$BA$205^A64,IF(A64='Données projet'!$A$88,'Données projet'!$B$88,BD63+BC64-BL63)))</f>
        <v>102.4699999999999</v>
      </c>
      <c r="BE64" s="14">
        <f>BD64*VLOOKUP('Données projet'!$B$11,Paramètres!$A$1:$I$89,3,0)*VLOOKUP('Données projet'!$B$11,Paramètres!$A$1:$I$89,5,0)</f>
        <v>118.04543999999987</v>
      </c>
      <c r="BF64" s="14">
        <f t="shared" si="37"/>
        <v>31.218695483136777</v>
      </c>
      <c r="BG64" s="22">
        <f t="shared" si="7"/>
        <v>259.96836929979628</v>
      </c>
      <c r="BH64" s="62">
        <f t="shared" si="8"/>
        <v>553.30170263312959</v>
      </c>
      <c r="BI64" s="62">
        <f ca="1">AVERAGE(OFFSET($BH$3,0,0,'Données projet'!$E$11+1,1))-AVERAGE(OFFSET($H$3,0,0,'Données projet'!$E$11+1,1))</f>
        <v>165.98015798223548</v>
      </c>
      <c r="BJ64" s="62">
        <f t="shared" si="38"/>
        <v>143.97979034100706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199.87967999999998</v>
      </c>
      <c r="CA64" s="14">
        <f t="shared" si="39"/>
        <v>49.717724105058785</v>
      </c>
      <c r="CB64" s="22">
        <f t="shared" si="10"/>
        <v>434.71547881631068</v>
      </c>
      <c r="CC64" s="62">
        <f t="shared" si="11"/>
        <v>728.04881214964394</v>
      </c>
      <c r="CD64" s="62">
        <f ca="1">AVERAGE(OFFSET($CC$3,0,0,'Données projet'!$E$12+1,1))-AVERAGE(OFFSET($H$3,0,0,'Données projet'!$E$12+1,1))</f>
        <v>335.16942824912076</v>
      </c>
      <c r="CE64" s="62">
        <f t="shared" si="40"/>
        <v>190.00559730122677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152.63300189110146</v>
      </c>
      <c r="T65" s="62">
        <f t="shared" si="34"/>
        <v>236.66430374499453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7.1612462674010526</v>
      </c>
      <c r="AA65" s="23">
        <f>EXP(-LN(2)/25)*AA64+(1-EXP(-LN(2)/25))/(LN(2)/25)*Calculateur!V65*Calculateur!X65*VLOOKUP('Données projet'!$B$9,Paramètres!$A$1:$I$89,3,0)*0.475*44/12</f>
        <v>4.0319871993639733</v>
      </c>
      <c r="AB65" s="23">
        <f>EXP(-LN(2)/2)*AB64+(1-EXP(-LN(2)/2))/(LN(2)/2)*V65*Y65*VLOOKUP('Données projet'!$B$9,Paramètres!$A$1:$I$89,3,0)*0.475*44/12</f>
        <v>4.4662678298287167E-5</v>
      </c>
      <c r="AC65" s="24">
        <f t="shared" si="3"/>
        <v>11.193278129443325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7.0604666666666658</v>
      </c>
      <c r="AI65" s="14">
        <f>IF('Données projet'!$A$62&gt;35,AI64+AH65-AQ64,IF(A65&lt;'Données projet'!$A$62,$AF$205^A65,IF(A65='Données projet'!$A$62,'Données projet'!$B$62,AI64+AH65-AQ64)))</f>
        <v>259.65126666666652</v>
      </c>
      <c r="AJ65" s="14">
        <f>AI65*VLOOKUP('Données projet'!$B$10,Paramètres!$A$1:$I$89,3,0)*VLOOKUP('Données projet'!$B$10,Paramètres!$A$1:$I$89,5,0)</f>
        <v>283.53918319999985</v>
      </c>
      <c r="AK65" s="14">
        <f t="shared" si="35"/>
        <v>67.714392390180976</v>
      </c>
      <c r="AL65" s="22">
        <f t="shared" si="4"/>
        <v>611.76664415289827</v>
      </c>
      <c r="AM65" s="62">
        <f t="shared" si="5"/>
        <v>905.09997748623164</v>
      </c>
      <c r="AN65" s="62">
        <f ca="1">AVERAGE(OFFSET($AM$3,0,0,'Données projet'!$E$10+1,1))-AVERAGE(OFFSET($H$3,0,0,'Données projet'!$E$10+1,1))</f>
        <v>886.54265074144564</v>
      </c>
      <c r="AO65" s="62">
        <f t="shared" si="36"/>
        <v>254.8922423500004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2.37</v>
      </c>
      <c r="BD65" s="13">
        <f>IF('Données projet'!$A$88&gt;35,BD64+BC65-BL64,IF(A65&lt;'Données projet'!$A$88,$BA$205^A65,IF(A65='Données projet'!$A$88,'Données projet'!$B$88,BD64+BC65-BL64)))</f>
        <v>104.8399999999999</v>
      </c>
      <c r="BE65" s="14">
        <f>BD65*VLOOKUP('Données projet'!$B$11,Paramètres!$A$1:$I$89,3,0)*VLOOKUP('Données projet'!$B$11,Paramètres!$A$1:$I$89,5,0)</f>
        <v>120.77567999999988</v>
      </c>
      <c r="BF65" s="14">
        <f t="shared" si="37"/>
        <v>31.855846018223062</v>
      </c>
      <c r="BG65" s="22">
        <f t="shared" si="7"/>
        <v>265.83324114840497</v>
      </c>
      <c r="BH65" s="62">
        <f t="shared" si="8"/>
        <v>559.16657448173828</v>
      </c>
      <c r="BI65" s="62">
        <f ca="1">AVERAGE(OFFSET($BH$3,0,0,'Données projet'!$E$11+1,1))-AVERAGE(OFFSET($H$3,0,0,'Données projet'!$E$11+1,1))</f>
        <v>165.98015798223548</v>
      </c>
      <c r="BJ65" s="62">
        <f t="shared" si="38"/>
        <v>143.97979034100706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207.06815999999995</v>
      </c>
      <c r="CA65" s="14">
        <f t="shared" si="39"/>
        <v>51.294381591685067</v>
      </c>
      <c r="CB65" s="22">
        <f t="shared" si="10"/>
        <v>449.98142660551815</v>
      </c>
      <c r="CC65" s="62">
        <f t="shared" si="11"/>
        <v>743.31475993885147</v>
      </c>
      <c r="CD65" s="62">
        <f ca="1">AVERAGE(OFFSET($CC$3,0,0,'Données projet'!$E$12+1,1))-AVERAGE(OFFSET($H$3,0,0,'Données projet'!$E$12+1,1))</f>
        <v>335.16942824912076</v>
      </c>
      <c r="CE65" s="62">
        <f t="shared" si="40"/>
        <v>190.00559730122677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152.63300189110146</v>
      </c>
      <c r="T66" s="62">
        <f t="shared" si="34"/>
        <v>236.66430374499453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7.0208185960262437</v>
      </c>
      <c r="AA66" s="23">
        <f>EXP(-LN(2)/25)*AA65+(1-EXP(-LN(2)/25))/(LN(2)/25)*Calculateur!V66*Calculateur!X66*VLOOKUP('Données projet'!$B$9,Paramètres!$A$1:$I$89,3,0)*0.475*44/12</f>
        <v>3.921732297364374</v>
      </c>
      <c r="AB66" s="23">
        <f>EXP(-LN(2)/2)*AB65+(1-EXP(-LN(2)/2))/(LN(2)/2)*V66*Y66*VLOOKUP('Données projet'!$B$9,Paramètres!$A$1:$I$89,3,0)*0.475*44/12</f>
        <v>3.1581282690672108E-5</v>
      </c>
      <c r="AC66" s="24">
        <f t="shared" si="3"/>
        <v>10.942582474673308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7.0604666666666658</v>
      </c>
      <c r="AI66" s="14">
        <f>IF('Données projet'!$A$62&gt;35,AI65+AH66-AQ65,IF(A66&lt;'Données projet'!$A$62,$AF$205^A66,IF(A66='Données projet'!$A$62,'Données projet'!$B$62,AI65+AH66-AQ65)))</f>
        <v>266.7117333333332</v>
      </c>
      <c r="AJ66" s="14">
        <f>AI66*VLOOKUP('Données projet'!$B$10,Paramètres!$A$1:$I$89,3,0)*VLOOKUP('Données projet'!$B$10,Paramètres!$A$1:$I$89,5,0)</f>
        <v>291.24921279999984</v>
      </c>
      <c r="AK66" s="14">
        <f t="shared" si="35"/>
        <v>69.338813674091142</v>
      </c>
      <c r="AL66" s="22">
        <f t="shared" si="4"/>
        <v>628.02414610904168</v>
      </c>
      <c r="AM66" s="62">
        <f t="shared" si="5"/>
        <v>921.35747944237505</v>
      </c>
      <c r="AN66" s="62">
        <f ca="1">AVERAGE(OFFSET($AM$3,0,0,'Données projet'!$E$10+1,1))-AVERAGE(OFFSET($H$3,0,0,'Données projet'!$E$10+1,1))</f>
        <v>886.54265074144564</v>
      </c>
      <c r="AO66" s="62">
        <f t="shared" si="36"/>
        <v>254.8922423500004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2.37</v>
      </c>
      <c r="BD66" s="13">
        <f>IF('Données projet'!$A$88&gt;35,BD65+BC66-BL65,IF(A66&lt;'Données projet'!$A$88,$BA$205^A66,IF(A66='Données projet'!$A$88,'Données projet'!$B$88,BD65+BC66-BL65)))</f>
        <v>107.20999999999991</v>
      </c>
      <c r="BE66" s="14">
        <f>BD66*VLOOKUP('Données projet'!$B$11,Paramètres!$A$1:$I$89,3,0)*VLOOKUP('Données projet'!$B$11,Paramètres!$A$1:$I$89,5,0)</f>
        <v>123.50591999999989</v>
      </c>
      <c r="BF66" s="14">
        <f t="shared" si="37"/>
        <v>32.491322056964258</v>
      </c>
      <c r="BG66" s="22">
        <f t="shared" si="7"/>
        <v>271.69519658254586</v>
      </c>
      <c r="BH66" s="62">
        <f t="shared" si="8"/>
        <v>565.02852991587918</v>
      </c>
      <c r="BI66" s="62">
        <f ca="1">AVERAGE(OFFSET($BH$3,0,0,'Données projet'!$E$11+1,1))-AVERAGE(OFFSET($H$3,0,0,'Données projet'!$E$11+1,1))</f>
        <v>165.98015798223548</v>
      </c>
      <c r="BJ66" s="62">
        <f t="shared" si="38"/>
        <v>143.97979034100706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214.25663999999995</v>
      </c>
      <c r="CA66" s="14">
        <f t="shared" si="39"/>
        <v>52.864679489007237</v>
      </c>
      <c r="CB66" s="22">
        <f t="shared" si="10"/>
        <v>465.23629811002087</v>
      </c>
      <c r="CC66" s="62">
        <f t="shared" si="11"/>
        <v>758.56963144335418</v>
      </c>
      <c r="CD66" s="62">
        <f ca="1">AVERAGE(OFFSET($CC$3,0,0,'Données projet'!$E$12+1,1))-AVERAGE(OFFSET($H$3,0,0,'Données projet'!$E$12+1,1))</f>
        <v>335.16942824912076</v>
      </c>
      <c r="CE66" s="62">
        <f t="shared" si="40"/>
        <v>190.00559730122677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152.63300189110146</v>
      </c>
      <c r="T67" s="62">
        <f t="shared" si="34"/>
        <v>236.66430374499453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6.8831446256346727</v>
      </c>
      <c r="AA67" s="23">
        <f>EXP(-LN(2)/25)*AA66+(1-EXP(-LN(2)/25))/(LN(2)/25)*Calculateur!V67*Calculateur!X67*VLOOKUP('Données projet'!$B$9,Paramètres!$A$1:$I$89,3,0)*0.475*44/12</f>
        <v>3.8144923214580069</v>
      </c>
      <c r="AB67" s="23">
        <f>EXP(-LN(2)/2)*AB66+(1-EXP(-LN(2)/2))/(LN(2)/2)*V67*Y67*VLOOKUP('Données projet'!$B$9,Paramètres!$A$1:$I$89,3,0)*0.475*44/12</f>
        <v>2.2331339149143584E-5</v>
      </c>
      <c r="AC67" s="24">
        <f t="shared" si="3"/>
        <v>10.697659278431829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7.0604666666666658</v>
      </c>
      <c r="AI67" s="14">
        <f>IF('Données projet'!$A$62&gt;35,AI66+AH67-AQ66,IF(A67&lt;'Données projet'!$A$62,$AF$205^A67,IF(A67='Données projet'!$A$62,'Données projet'!$B$62,AI66+AH67-AQ66)))</f>
        <v>273.77219999999988</v>
      </c>
      <c r="AJ67" s="14">
        <f>AI67*VLOOKUP('Données projet'!$B$10,Paramètres!$A$1:$I$89,3,0)*VLOOKUP('Données projet'!$B$10,Paramètres!$A$1:$I$89,5,0)</f>
        <v>298.95924239999988</v>
      </c>
      <c r="AK67" s="14">
        <f t="shared" si="35"/>
        <v>70.95823659718846</v>
      </c>
      <c r="AL67" s="22">
        <f t="shared" si="4"/>
        <v>644.27294258676966</v>
      </c>
      <c r="AM67" s="62">
        <f t="shared" si="5"/>
        <v>937.60627592010292</v>
      </c>
      <c r="AN67" s="62">
        <f ca="1">AVERAGE(OFFSET($AM$3,0,0,'Données projet'!$E$10+1,1))-AVERAGE(OFFSET($H$3,0,0,'Données projet'!$E$10+1,1))</f>
        <v>886.54265074144564</v>
      </c>
      <c r="AO67" s="62">
        <f t="shared" si="36"/>
        <v>254.8922423500004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2.37</v>
      </c>
      <c r="BD67" s="13">
        <f>IF('Données projet'!$A$88&gt;35,BD66+BC67-BL66,IF(A67&lt;'Données projet'!$A$88,$BA$205^A67,IF(A67='Données projet'!$A$88,'Données projet'!$B$88,BD66+BC67-BL66)))</f>
        <v>109.57999999999991</v>
      </c>
      <c r="BE67" s="14">
        <f>BD67*VLOOKUP('Données projet'!$B$11,Paramètres!$A$1:$I$89,3,0)*VLOOKUP('Données projet'!$B$11,Paramètres!$A$1:$I$89,5,0)</f>
        <v>126.23615999999988</v>
      </c>
      <c r="BF67" s="14">
        <f t="shared" si="37"/>
        <v>33.125164878431264</v>
      </c>
      <c r="BG67" s="22">
        <f t="shared" si="7"/>
        <v>277.55430749660098</v>
      </c>
      <c r="BH67" s="62">
        <f t="shared" si="8"/>
        <v>570.8876408299343</v>
      </c>
      <c r="BI67" s="62">
        <f ca="1">AVERAGE(OFFSET($BH$3,0,0,'Données projet'!$E$11+1,1))-AVERAGE(OFFSET($H$3,0,0,'Données projet'!$E$11+1,1))</f>
        <v>165.98015798223548</v>
      </c>
      <c r="BJ67" s="62">
        <f t="shared" si="38"/>
        <v>143.97979034100706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221.44511999999997</v>
      </c>
      <c r="CA67" s="14">
        <f t="shared" si="39"/>
        <v>54.428855628576329</v>
      </c>
      <c r="CB67" s="22">
        <f t="shared" si="10"/>
        <v>480.48050755310373</v>
      </c>
      <c r="CC67" s="62">
        <f t="shared" si="11"/>
        <v>773.81384088643699</v>
      </c>
      <c r="CD67" s="62">
        <f ca="1">AVERAGE(OFFSET($CC$3,0,0,'Données projet'!$E$12+1,1))-AVERAGE(OFFSET($H$3,0,0,'Données projet'!$E$12+1,1))</f>
        <v>335.16942824912076</v>
      </c>
      <c r="CE67" s="62">
        <f t="shared" si="40"/>
        <v>190.00559730122677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152.63300189110146</v>
      </c>
      <c r="T68" s="62">
        <f t="shared" si="34"/>
        <v>236.66430374499453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6.7481703578296504</v>
      </c>
      <c r="AA68" s="23">
        <f>EXP(-LN(2)/25)*AA67+(1-EXP(-LN(2)/25))/(LN(2)/25)*Calculateur!V68*Calculateur!X68*VLOOKUP('Données projet'!$B$9,Paramètres!$A$1:$I$89,3,0)*0.475*44/12</f>
        <v>3.7101848283323045</v>
      </c>
      <c r="AB68" s="23">
        <f>EXP(-LN(2)/2)*AB67+(1-EXP(-LN(2)/2))/(LN(2)/2)*V68*Y68*VLOOKUP('Données projet'!$B$9,Paramètres!$A$1:$I$89,3,0)*0.475*44/12</f>
        <v>1.5790641345336054E-5</v>
      </c>
      <c r="AC68" s="24">
        <f t="shared" ref="AC68:AC131" si="57">SUM(Z68:AB68)</f>
        <v>10.4583709768033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7.0604666666666658</v>
      </c>
      <c r="AI68" s="14">
        <f>IF('Données projet'!$A$62&gt;35,AI67+AH68-AQ67,IF(A68&lt;'Données projet'!$A$62,$AF$205^A68,IF(A68='Données projet'!$A$62,'Données projet'!$B$62,AI67+AH68-AQ67)))</f>
        <v>280.83266666666657</v>
      </c>
      <c r="AJ68" s="14">
        <f>AI68*VLOOKUP('Données projet'!$B$10,Paramètres!$A$1:$I$89,3,0)*VLOOKUP('Données projet'!$B$10,Paramètres!$A$1:$I$89,5,0)</f>
        <v>306.66927199999986</v>
      </c>
      <c r="AK68" s="14">
        <f t="shared" si="35"/>
        <v>72.572804886101537</v>
      </c>
      <c r="AL68" s="22">
        <f t="shared" ref="AL68:AL131" si="58">(AJ68+AK68)*0.475*44/12</f>
        <v>660.51328390995991</v>
      </c>
      <c r="AM68" s="62">
        <f t="shared" ref="AM68:AM131" si="59">AL68+(AD68+AE68)*44/12</f>
        <v>953.84661724329317</v>
      </c>
      <c r="AN68" s="62">
        <f ca="1">AVERAGE(OFFSET($AM$3,0,0,'Données projet'!$E$10+1,1))-AVERAGE(OFFSET($H$3,0,0,'Données projet'!$E$10+1,1))</f>
        <v>886.54265074144564</v>
      </c>
      <c r="AO68" s="62">
        <f t="shared" si="36"/>
        <v>254.8922423500004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2.37</v>
      </c>
      <c r="BD68" s="13">
        <f>IF('Données projet'!$A$88&gt;35,BD67+BC68-BL67,IF(A68&lt;'Données projet'!$A$88,$BA$205^A68,IF(A68='Données projet'!$A$88,'Données projet'!$B$88,BD67+BC68-BL67)))</f>
        <v>111.94999999999992</v>
      </c>
      <c r="BE68" s="14">
        <f>BD68*VLOOKUP('Données projet'!$B$11,Paramètres!$A$1:$I$89,3,0)*VLOOKUP('Données projet'!$B$11,Paramètres!$A$1:$I$89,5,0)</f>
        <v>128.96639999999991</v>
      </c>
      <c r="BF68" s="14">
        <f t="shared" si="37"/>
        <v>33.75741387413877</v>
      </c>
      <c r="BG68" s="22">
        <f t="shared" ref="BG68:BG131" si="61">(BE68+BF68)*0.475*44/12</f>
        <v>283.41064249745818</v>
      </c>
      <c r="BH68" s="62">
        <f t="shared" ref="BH68:BH131" si="62">BG68+(AY68+AZ68)*44/12</f>
        <v>576.74397583079144</v>
      </c>
      <c r="BI68" s="62">
        <f ca="1">AVERAGE(OFFSET($BH$3,0,0,'Données projet'!$E$11+1,1))-AVERAGE(OFFSET($H$3,0,0,'Données projet'!$E$11+1,1))</f>
        <v>165.98015798223548</v>
      </c>
      <c r="BJ68" s="62">
        <f t="shared" si="38"/>
        <v>143.97979034100706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228.63359999999992</v>
      </c>
      <c r="CA68" s="14">
        <f t="shared" si="39"/>
        <v>55.987131524590119</v>
      </c>
      <c r="CB68" s="22">
        <f t="shared" ref="CB68:CB131" si="64">(BZ68+CA68)*0.475*44/12</f>
        <v>495.71444073866093</v>
      </c>
      <c r="CC68" s="62">
        <f t="shared" ref="CC68:CC131" si="65">CB68+(BT68+BU68)*44/12</f>
        <v>789.04777407199424</v>
      </c>
      <c r="CD68" s="62">
        <f ca="1">AVERAGE(OFFSET($CC$3,0,0,'Données projet'!$E$12+1,1))-AVERAGE(OFFSET($H$3,0,0,'Données projet'!$E$12+1,1))</f>
        <v>335.16942824912076</v>
      </c>
      <c r="CE68" s="62">
        <f t="shared" si="40"/>
        <v>190.00559730122677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152.63300189110146</v>
      </c>
      <c r="T69" s="62">
        <f t="shared" ref="T69:T132" si="88">$T$3</f>
        <v>236.66430374499453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6.6158428530901103</v>
      </c>
      <c r="AA69" s="23">
        <f>EXP(-LN(2)/25)*AA68+(1-EXP(-LN(2)/25))/(LN(2)/25)*Calculateur!V69*Calculateur!X69*VLOOKUP('Données projet'!$B$9,Paramètres!$A$1:$I$89,3,0)*0.475*44/12</f>
        <v>3.608729629091417</v>
      </c>
      <c r="AB69" s="23">
        <f>EXP(-LN(2)/2)*AB68+(1-EXP(-LN(2)/2))/(LN(2)/2)*V69*Y69*VLOOKUP('Données projet'!$B$9,Paramètres!$A$1:$I$89,3,0)*0.475*44/12</f>
        <v>1.1165669574571792E-5</v>
      </c>
      <c r="AC69" s="24">
        <f t="shared" si="57"/>
        <v>10.224583647851102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7.0604666666666658</v>
      </c>
      <c r="AI69" s="14">
        <f>IF('Données projet'!$A$62&gt;35,AI68+AH69-AQ68,IF(A69&lt;'Données projet'!$A$62,$AF$205^A69,IF(A69='Données projet'!$A$62,'Données projet'!$B$62,AI68+AH69-AQ68)))</f>
        <v>287.89313333333325</v>
      </c>
      <c r="AJ69" s="14">
        <f>AI69*VLOOKUP('Données projet'!$B$10,Paramètres!$A$1:$I$89,3,0)*VLOOKUP('Données projet'!$B$10,Paramètres!$A$1:$I$89,5,0)</f>
        <v>314.37930159999991</v>
      </c>
      <c r="AK69" s="14">
        <f t="shared" ref="AK69:AK132" si="89">EXP(-1.0587+0.8836*LN(AJ69)+0.284)</f>
        <v>74.182654628689107</v>
      </c>
      <c r="AL69" s="22">
        <f t="shared" si="58"/>
        <v>676.74540709830001</v>
      </c>
      <c r="AM69" s="62">
        <f t="shared" si="59"/>
        <v>970.07874043163338</v>
      </c>
      <c r="AN69" s="62">
        <f ca="1">AVERAGE(OFFSET($AM$3,0,0,'Données projet'!$E$10+1,1))-AVERAGE(OFFSET($H$3,0,0,'Données projet'!$E$10+1,1))</f>
        <v>886.54265074144564</v>
      </c>
      <c r="AO69" s="62">
        <f t="shared" ref="AO69:AO132" si="90">$AO$3</f>
        <v>254.8922423500004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2.37</v>
      </c>
      <c r="BD69" s="13">
        <f>IF('Données projet'!$A$88&gt;35,BD68+BC69-BL68,IF(A69&lt;'Données projet'!$A$88,$BA$205^A69,IF(A69='Données projet'!$A$88,'Données projet'!$B$88,BD68+BC69-BL68)))</f>
        <v>114.31999999999992</v>
      </c>
      <c r="BE69" s="14">
        <f>BD69*VLOOKUP('Données projet'!$B$11,Paramètres!$A$1:$I$89,3,0)*VLOOKUP('Données projet'!$B$11,Paramètres!$A$1:$I$89,5,0)</f>
        <v>131.69663999999989</v>
      </c>
      <c r="BF69" s="14">
        <f t="shared" ref="BF69:BF132" si="91">EXP(-1.0587+0.8836*LN(BE69)+0.284)</f>
        <v>34.388106672460147</v>
      </c>
      <c r="BG69" s="22">
        <f t="shared" si="61"/>
        <v>289.26426712120121</v>
      </c>
      <c r="BH69" s="62">
        <f t="shared" si="62"/>
        <v>582.59760045453459</v>
      </c>
      <c r="BI69" s="62">
        <f ca="1">AVERAGE(OFFSET($BH$3,0,0,'Données projet'!$E$11+1,1))-AVERAGE(OFFSET($H$3,0,0,'Données projet'!$E$11+1,1))</f>
        <v>165.98015798223548</v>
      </c>
      <c r="BJ69" s="62">
        <f t="shared" ref="BJ69:BJ132" si="92">$BJ$3</f>
        <v>143.97979034100706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235.42271999999994</v>
      </c>
      <c r="CA69" s="14">
        <f t="shared" ref="CA69:CA132" si="93">EXP(-1.0587+0.8836*LN(BZ69)+0.284)</f>
        <v>57.453605409561405</v>
      </c>
      <c r="CB69" s="22">
        <f t="shared" si="64"/>
        <v>510.09293342165273</v>
      </c>
      <c r="CC69" s="62">
        <f t="shared" si="65"/>
        <v>803.42626675498605</v>
      </c>
      <c r="CD69" s="62">
        <f ca="1">AVERAGE(OFFSET($CC$3,0,0,'Données projet'!$E$12+1,1))-AVERAGE(OFFSET($H$3,0,0,'Données projet'!$E$12+1,1))</f>
        <v>335.16942824912076</v>
      </c>
      <c r="CE69" s="62">
        <f t="shared" ref="CE69:CE132" si="94">$CE$3</f>
        <v>190.00559730122677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152.63300189110146</v>
      </c>
      <c r="T70" s="62">
        <f t="shared" si="88"/>
        <v>236.66430374499453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6.4861102100067045</v>
      </c>
      <c r="AA70" s="23">
        <f>EXP(-LN(2)/25)*AA69+(1-EXP(-LN(2)/25))/(LN(2)/25)*Calculateur!V70*Calculateur!X70*VLOOKUP('Données projet'!$B$9,Paramètres!$A$1:$I$89,3,0)*0.475*44/12</f>
        <v>3.5100487276090688</v>
      </c>
      <c r="AB70" s="23">
        <f>EXP(-LN(2)/2)*AB69+(1-EXP(-LN(2)/2))/(LN(2)/2)*V70*Y70*VLOOKUP('Données projet'!$B$9,Paramètres!$A$1:$I$89,3,0)*0.475*44/12</f>
        <v>7.895320672668027E-6</v>
      </c>
      <c r="AC70" s="24">
        <f t="shared" si="57"/>
        <v>9.9961668329364457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7.0604666666666658</v>
      </c>
      <c r="AI70" s="14">
        <f>IF('Données projet'!$A$62&gt;35,AI69+AH70-AQ69,IF(A70&lt;'Données projet'!$A$62,$AF$205^A70,IF(A70='Données projet'!$A$62,'Données projet'!$B$62,AI69+AH70-AQ69)))</f>
        <v>294.95359999999994</v>
      </c>
      <c r="AJ70" s="14">
        <f>AI70*VLOOKUP('Données projet'!$B$10,Paramètres!$A$1:$I$89,3,0)*VLOOKUP('Données projet'!$B$10,Paramètres!$A$1:$I$89,5,0)</f>
        <v>322.08933119999995</v>
      </c>
      <c r="AK70" s="14">
        <f t="shared" si="89"/>
        <v>75.787914857262564</v>
      </c>
      <c r="AL70" s="22">
        <f t="shared" si="58"/>
        <v>692.96953688306542</v>
      </c>
      <c r="AM70" s="62">
        <f t="shared" si="59"/>
        <v>986.30287021639879</v>
      </c>
      <c r="AN70" s="62">
        <f ca="1">AVERAGE(OFFSET($AM$3,0,0,'Données projet'!$E$10+1,1))-AVERAGE(OFFSET($H$3,0,0,'Données projet'!$E$10+1,1))</f>
        <v>886.54265074144564</v>
      </c>
      <c r="AO70" s="62">
        <f t="shared" si="90"/>
        <v>254.8922423500004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2.37</v>
      </c>
      <c r="BD70" s="13">
        <f>IF('Données projet'!$A$88&gt;35,BD69+BC70-BL69,IF(A70&lt;'Données projet'!$A$88,$BA$205^A70,IF(A70='Données projet'!$A$88,'Données projet'!$B$88,BD69+BC70-BL69)))</f>
        <v>116.68999999999993</v>
      </c>
      <c r="BE70" s="14">
        <f>BD70*VLOOKUP('Données projet'!$B$11,Paramètres!$A$1:$I$89,3,0)*VLOOKUP('Données projet'!$B$11,Paramètres!$A$1:$I$89,5,0)</f>
        <v>134.4268799999999</v>
      </c>
      <c r="BF70" s="14">
        <f t="shared" si="91"/>
        <v>35.017279252433923</v>
      </c>
      <c r="BG70" s="22">
        <f t="shared" si="61"/>
        <v>295.11524403132222</v>
      </c>
      <c r="BH70" s="62">
        <f t="shared" si="62"/>
        <v>588.44857736465553</v>
      </c>
      <c r="BI70" s="62">
        <f ca="1">AVERAGE(OFFSET($BH$3,0,0,'Données projet'!$E$11+1,1))-AVERAGE(OFFSET($H$3,0,0,'Données projet'!$E$11+1,1))</f>
        <v>165.98015798223548</v>
      </c>
      <c r="BJ70" s="62">
        <f t="shared" si="92"/>
        <v>143.97979034100706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242.21183999999994</v>
      </c>
      <c r="CA70" s="14">
        <f t="shared" si="93"/>
        <v>58.915164251421196</v>
      </c>
      <c r="CB70" s="22">
        <f t="shared" si="64"/>
        <v>524.46286573789178</v>
      </c>
      <c r="CC70" s="62">
        <f t="shared" si="65"/>
        <v>817.79619907122515</v>
      </c>
      <c r="CD70" s="62">
        <f ca="1">AVERAGE(OFFSET($CC$3,0,0,'Données projet'!$E$12+1,1))-AVERAGE(OFFSET($H$3,0,0,'Données projet'!$E$12+1,1))</f>
        <v>335.16942824912076</v>
      </c>
      <c r="CE70" s="62">
        <f t="shared" si="94"/>
        <v>190.00559730122677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152.63300189110146</v>
      </c>
      <c r="T71" s="62">
        <f t="shared" si="88"/>
        <v>236.66430374499453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6.3589215449250647</v>
      </c>
      <c r="AA71" s="23">
        <f>EXP(-LN(2)/25)*AA70+(1-EXP(-LN(2)/25))/(LN(2)/25)*Calculateur!V71*Calculateur!X71*VLOOKUP('Données projet'!$B$9,Paramètres!$A$1:$I$89,3,0)*0.475*44/12</f>
        <v>3.4140662605671586</v>
      </c>
      <c r="AB71" s="23">
        <f>EXP(-LN(2)/2)*AB70+(1-EXP(-LN(2)/2))/(LN(2)/2)*V71*Y71*VLOOKUP('Données projet'!$B$9,Paramètres!$A$1:$I$89,3,0)*0.475*44/12</f>
        <v>5.5828347872858959E-6</v>
      </c>
      <c r="AC71" s="24">
        <f t="shared" si="57"/>
        <v>9.7729933883270093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7.0604666666666658</v>
      </c>
      <c r="AI71" s="14">
        <f>IF('Données projet'!$A$62&gt;35,AI70+AH71-AQ70,IF(A71&lt;'Données projet'!$A$62,$AF$205^A71,IF(A71='Données projet'!$A$62,'Données projet'!$B$62,AI70+AH71-AQ70)))</f>
        <v>302.01406666666662</v>
      </c>
      <c r="AJ71" s="14">
        <f>AI71*VLOOKUP('Données projet'!$B$10,Paramètres!$A$1:$I$89,3,0)*VLOOKUP('Données projet'!$B$10,Paramètres!$A$1:$I$89,5,0)</f>
        <v>329.79936079999993</v>
      </c>
      <c r="AK71" s="14">
        <f t="shared" si="89"/>
        <v>77.388708074392554</v>
      </c>
      <c r="AL71" s="22">
        <f t="shared" si="58"/>
        <v>709.18588662290006</v>
      </c>
      <c r="AM71" s="62">
        <f t="shared" si="59"/>
        <v>1002.5192199562334</v>
      </c>
      <c r="AN71" s="62">
        <f ca="1">AVERAGE(OFFSET($AM$3,0,0,'Données projet'!$E$10+1,1))-AVERAGE(OFFSET($H$3,0,0,'Données projet'!$E$10+1,1))</f>
        <v>886.54265074144564</v>
      </c>
      <c r="AO71" s="62">
        <f t="shared" si="90"/>
        <v>254.8922423500004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2.37</v>
      </c>
      <c r="BD71" s="13">
        <f>IF('Données projet'!$A$88&gt;35,BD70+BC71-BL70,IF(A71&lt;'Données projet'!$A$88,$BA$205^A71,IF(A71='Données projet'!$A$88,'Données projet'!$B$88,BD70+BC71-BL70)))</f>
        <v>119.05999999999993</v>
      </c>
      <c r="BE71" s="14">
        <f>BD71*VLOOKUP('Données projet'!$B$11,Paramètres!$A$1:$I$89,3,0)*VLOOKUP('Données projet'!$B$11,Paramètres!$A$1:$I$89,5,0)</f>
        <v>137.15711999999991</v>
      </c>
      <c r="BF71" s="14">
        <f t="shared" si="91"/>
        <v>35.644966048063615</v>
      </c>
      <c r="BG71" s="22">
        <f t="shared" si="61"/>
        <v>300.96363320037727</v>
      </c>
      <c r="BH71" s="62">
        <f t="shared" si="62"/>
        <v>594.29696653371059</v>
      </c>
      <c r="BI71" s="62">
        <f ca="1">AVERAGE(OFFSET($BH$3,0,0,'Données projet'!$E$11+1,1))-AVERAGE(OFFSET($H$3,0,0,'Données projet'!$E$11+1,1))</f>
        <v>165.98015798223548</v>
      </c>
      <c r="BJ71" s="62">
        <f t="shared" si="92"/>
        <v>143.97979034100706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249.00095999999994</v>
      </c>
      <c r="CA71" s="14">
        <f t="shared" si="93"/>
        <v>60.37196164345098</v>
      </c>
      <c r="CB71" s="22">
        <f t="shared" si="64"/>
        <v>538.82450519567703</v>
      </c>
      <c r="CC71" s="62">
        <f t="shared" si="65"/>
        <v>832.15783852901041</v>
      </c>
      <c r="CD71" s="62">
        <f ca="1">AVERAGE(OFFSET($CC$3,0,0,'Données projet'!$E$12+1,1))-AVERAGE(OFFSET($H$3,0,0,'Données projet'!$E$12+1,1))</f>
        <v>335.16942824912076</v>
      </c>
      <c r="CE71" s="62">
        <f t="shared" si="94"/>
        <v>190.00559730122677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152.63300189110146</v>
      </c>
      <c r="T72" s="62">
        <f t="shared" si="88"/>
        <v>236.66430374499453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6.2342269719882504</v>
      </c>
      <c r="AA72" s="23">
        <f>EXP(-LN(2)/25)*AA71+(1-EXP(-LN(2)/25))/(LN(2)/25)*Calculateur!V72*Calculateur!X72*VLOOKUP('Données projet'!$B$9,Paramètres!$A$1:$I$89,3,0)*0.475*44/12</f>
        <v>3.320708439134008</v>
      </c>
      <c r="AB72" s="23">
        <f>EXP(-LN(2)/2)*AB71+(1-EXP(-LN(2)/2))/(LN(2)/2)*V72*Y72*VLOOKUP('Données projet'!$B$9,Paramètres!$A$1:$I$89,3,0)*0.475*44/12</f>
        <v>3.9476603363340135E-6</v>
      </c>
      <c r="AC72" s="24">
        <f t="shared" si="57"/>
        <v>9.5549393587825939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7.0604666666666658</v>
      </c>
      <c r="AI72" s="14">
        <f>IF('Données projet'!$A$62&gt;35,AI71+AH72-AQ71,IF(A72&lt;'Données projet'!$A$62,$AF$205^A72,IF(A72='Données projet'!$A$62,'Données projet'!$B$62,AI71+AH72-AQ71)))</f>
        <v>309.07453333333331</v>
      </c>
      <c r="AJ72" s="14">
        <f>AI72*VLOOKUP('Données projet'!$B$10,Paramètres!$A$1:$I$89,3,0)*VLOOKUP('Données projet'!$B$10,Paramètres!$A$1:$I$89,5,0)</f>
        <v>337.50939039999997</v>
      </c>
      <c r="AK72" s="14">
        <f t="shared" si="89"/>
        <v>78.985150728160448</v>
      </c>
      <c r="AL72" s="22">
        <f t="shared" si="58"/>
        <v>725.39465913154606</v>
      </c>
      <c r="AM72" s="62">
        <f t="shared" si="59"/>
        <v>1018.7279924648794</v>
      </c>
      <c r="AN72" s="62">
        <f ca="1">AVERAGE(OFFSET($AM$3,0,0,'Données projet'!$E$10+1,1))-AVERAGE(OFFSET($H$3,0,0,'Données projet'!$E$10+1,1))</f>
        <v>886.54265074144564</v>
      </c>
      <c r="AO72" s="62">
        <f t="shared" si="90"/>
        <v>254.8922423500004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2.37</v>
      </c>
      <c r="BD72" s="13">
        <f>IF('Données projet'!$A$88&gt;35,BD71+BC72-BL71,IF(A72&lt;'Données projet'!$A$88,$BA$205^A72,IF(A72='Données projet'!$A$88,'Données projet'!$B$88,BD71+BC72-BL71)))</f>
        <v>121.42999999999994</v>
      </c>
      <c r="BE72" s="14">
        <f>BD72*VLOOKUP('Données projet'!$B$11,Paramètres!$A$1:$I$89,3,0)*VLOOKUP('Données projet'!$B$11,Paramètres!$A$1:$I$89,5,0)</f>
        <v>139.88735999999992</v>
      </c>
      <c r="BF72" s="14">
        <f t="shared" si="91"/>
        <v>36.271200044077993</v>
      </c>
      <c r="BG72" s="22">
        <f t="shared" si="61"/>
        <v>306.809492076769</v>
      </c>
      <c r="BH72" s="62">
        <f t="shared" si="62"/>
        <v>600.14282541010232</v>
      </c>
      <c r="BI72" s="62">
        <f ca="1">AVERAGE(OFFSET($BH$3,0,0,'Données projet'!$E$11+1,1))-AVERAGE(OFFSET($H$3,0,0,'Données projet'!$E$11+1,1))</f>
        <v>165.98015798223548</v>
      </c>
      <c r="BJ72" s="62">
        <f t="shared" si="92"/>
        <v>143.97979034100706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255.79007999999996</v>
      </c>
      <c r="CA72" s="14">
        <f t="shared" si="93"/>
        <v>61.824142326633051</v>
      </c>
      <c r="CB72" s="22">
        <f t="shared" si="64"/>
        <v>553.17810388555245</v>
      </c>
      <c r="CC72" s="62">
        <f t="shared" si="65"/>
        <v>846.5114372188857</v>
      </c>
      <c r="CD72" s="62">
        <f ca="1">AVERAGE(OFFSET($CC$3,0,0,'Données projet'!$E$12+1,1))-AVERAGE(OFFSET($H$3,0,0,'Données projet'!$E$12+1,1))</f>
        <v>335.16942824912076</v>
      </c>
      <c r="CE72" s="62">
        <f t="shared" si="94"/>
        <v>190.00559730122677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152.63300189110146</v>
      </c>
      <c r="T73" s="62">
        <f t="shared" si="88"/>
        <v>236.66430374499453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6.1119775835705479</v>
      </c>
      <c r="AA73" s="23">
        <f>EXP(-LN(2)/25)*AA72+(1-EXP(-LN(2)/25))/(LN(2)/25)*Calculateur!V73*Calculateur!X73*VLOOKUP('Données projet'!$B$9,Paramètres!$A$1:$I$89,3,0)*0.475*44/12</f>
        <v>3.2299034922374212</v>
      </c>
      <c r="AB73" s="23">
        <f>EXP(-LN(2)/2)*AB72+(1-EXP(-LN(2)/2))/(LN(2)/2)*V73*Y73*VLOOKUP('Données projet'!$B$9,Paramètres!$A$1:$I$89,3,0)*0.475*44/12</f>
        <v>2.7914173936429479E-6</v>
      </c>
      <c r="AC73" s="24">
        <f t="shared" si="57"/>
        <v>9.3418838672253628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316.13499999999999</v>
      </c>
      <c r="AG73" s="13">
        <f>VLOOKUP(A73,'Données projet'!$A$61:$I$81,9,0)</f>
        <v>7.0604666666666658</v>
      </c>
      <c r="AH73" s="13">
        <f t="array" ref="AH73">INDEX(AG:AG,MIN(IF(ISNUMBER(AG73:AG269),ROW(AG73:AG269),"")))</f>
        <v>7.0604666666666658</v>
      </c>
      <c r="AI73" s="14">
        <f>IF('Données projet'!$A$62&gt;35,AI72+AH73-AQ72,IF(A73&lt;'Données projet'!$A$62,$AF$205^A73,IF(A73='Données projet'!$A$62,'Données projet'!$B$62,AI72+AH73-AQ72)))</f>
        <v>316.13499999999999</v>
      </c>
      <c r="AJ73" s="14">
        <f>AI73*VLOOKUP('Données projet'!$B$10,Paramètres!$A$1:$I$89,3,0)*VLOOKUP('Données projet'!$B$10,Paramètres!$A$1:$I$89,5,0)</f>
        <v>345.21941999999996</v>
      </c>
      <c r="AK73" s="14">
        <f t="shared" si="89"/>
        <v>80.577353642759931</v>
      </c>
      <c r="AL73" s="22">
        <f t="shared" si="58"/>
        <v>741.59604742780675</v>
      </c>
      <c r="AM73" s="62">
        <f t="shared" si="59"/>
        <v>1034.92938076114</v>
      </c>
      <c r="AN73" s="62">
        <f ca="1">AVERAGE(OFFSET($AM$3,0,0,'Données projet'!$E$10+1,1))-AVERAGE(OFFSET($H$3,0,0,'Données projet'!$E$10+1,1))</f>
        <v>886.54265074144564</v>
      </c>
      <c r="AO73" s="62">
        <f t="shared" si="90"/>
        <v>254.8922423500004</v>
      </c>
      <c r="AP73" s="16">
        <f>IF(ISNA(VLOOKUP(A73,'Données projet'!$A$61:$I$81,3,0)),0,VLOOKUP(A73,'Données projet'!$A$61:$I$81,3,0))</f>
        <v>4</v>
      </c>
      <c r="AQ73" s="16">
        <f>IF(ISNA(VLOOKUP(A73,'Données projet'!$A$61:$I$81,4,0)),0,VLOOKUP(A73,'Données projet'!$A$61:$I$81,4,0))</f>
        <v>35.125999999999998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123.8</v>
      </c>
      <c r="BB73" s="13">
        <f>VLOOKUP(A73,'Données projet'!$A$87:$I$107,9,0)</f>
        <v>2.37</v>
      </c>
      <c r="BC73" s="13">
        <f t="array" ref="BC73">INDEX(BB:BB,MIN(IF(ISNUMBER(BB73:BB269),ROW(BB73:BB269),"")))</f>
        <v>2.37</v>
      </c>
      <c r="BD73" s="13">
        <f>IF('Données projet'!$A$88&gt;35,BD72+BC73-BL72,IF(A73&lt;'Données projet'!$A$88,$BA$205^A73,IF(A73='Données projet'!$A$88,'Données projet'!$B$88,BD72+BC73-BL72)))</f>
        <v>123.79999999999994</v>
      </c>
      <c r="BE73" s="14">
        <f>BD73*VLOOKUP('Données projet'!$B$11,Paramètres!$A$1:$I$89,3,0)*VLOOKUP('Données projet'!$B$11,Paramètres!$A$1:$I$89,5,0)</f>
        <v>142.61759999999992</v>
      </c>
      <c r="BF73" s="14">
        <f t="shared" si="91"/>
        <v>36.896012864004049</v>
      </c>
      <c r="BG73" s="22">
        <f t="shared" si="61"/>
        <v>312.65287573814021</v>
      </c>
      <c r="BH73" s="62">
        <f t="shared" si="62"/>
        <v>605.98620907147347</v>
      </c>
      <c r="BI73" s="62">
        <f ca="1">AVERAGE(OFFSET($BH$3,0,0,'Données projet'!$E$11+1,1))-AVERAGE(OFFSET($H$3,0,0,'Données projet'!$E$11+1,1))</f>
        <v>165.98015798223548</v>
      </c>
      <c r="BJ73" s="62">
        <f t="shared" si="92"/>
        <v>143.97979034100706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13.4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262.57919999999996</v>
      </c>
      <c r="CA73" s="14">
        <f t="shared" si="93"/>
        <v>63.271842921083426</v>
      </c>
      <c r="CB73" s="22">
        <f t="shared" si="64"/>
        <v>567.52389975422022</v>
      </c>
      <c r="CC73" s="62">
        <f t="shared" si="65"/>
        <v>860.8572330875536</v>
      </c>
      <c r="CD73" s="62">
        <f ca="1">AVERAGE(OFFSET($CC$3,0,0,'Données projet'!$E$12+1,1))-AVERAGE(OFFSET($H$3,0,0,'Données projet'!$E$12+1,1))</f>
        <v>335.16942824912076</v>
      </c>
      <c r="CE73" s="62">
        <f t="shared" si="94"/>
        <v>190.00559730122677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152.63300189110146</v>
      </c>
      <c r="T74" s="62">
        <f t="shared" si="88"/>
        <v>236.66430374499453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5.9921254310949523</v>
      </c>
      <c r="AA74" s="23">
        <f>EXP(-LN(2)/25)*AA73+(1-EXP(-LN(2)/25))/(LN(2)/25)*Calculateur!V74*Calculateur!X74*VLOOKUP('Données projet'!$B$9,Paramètres!$A$1:$I$89,3,0)*0.475*44/12</f>
        <v>3.1415816113889465</v>
      </c>
      <c r="AB74" s="23">
        <f>EXP(-LN(2)/2)*AB73+(1-EXP(-LN(2)/2))/(LN(2)/2)*V74*Y74*VLOOKUP('Données projet'!$B$9,Paramètres!$A$1:$I$89,3,0)*0.475*44/12</f>
        <v>1.9738301681670067E-6</v>
      </c>
      <c r="AC74" s="24">
        <f t="shared" si="57"/>
        <v>9.1337090163140662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7.0995999999999997</v>
      </c>
      <c r="AI74" s="14">
        <f>IF('Données projet'!$A$62&gt;35,AI73+AH74-AQ73,IF(A74&lt;'Données projet'!$A$62,$AF$205^A74,IF(A74='Données projet'!$A$62,'Données projet'!$B$62,AI73+AH74-AQ73)))</f>
        <v>288.10860000000002</v>
      </c>
      <c r="AJ74" s="14">
        <f>AI74*VLOOKUP('Données projet'!$B$10,Paramètres!$A$1:$I$89,3,0)*VLOOKUP('Données projet'!$B$10,Paramètres!$A$1:$I$89,5,0)</f>
        <v>314.61459120000001</v>
      </c>
      <c r="AK74" s="14">
        <f t="shared" si="89"/>
        <v>74.231710156403835</v>
      </c>
      <c r="AL74" s="22">
        <f t="shared" si="58"/>
        <v>677.24064152906988</v>
      </c>
      <c r="AM74" s="62">
        <f t="shared" si="59"/>
        <v>970.57397486240325</v>
      </c>
      <c r="AN74" s="62">
        <f ca="1">AVERAGE(OFFSET($AM$3,0,0,'Données projet'!$E$10+1,1))-AVERAGE(OFFSET($H$3,0,0,'Données projet'!$E$10+1,1))</f>
        <v>886.54265074144564</v>
      </c>
      <c r="AO74" s="62">
        <f t="shared" si="90"/>
        <v>254.8922423500004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2.1900000000000022</v>
      </c>
      <c r="BD74" s="13">
        <f>IF('Données projet'!$A$88&gt;35,BD73+BC74-BL73,IF(A74&lt;'Données projet'!$A$88,$BA$205^A74,IF(A74='Données projet'!$A$88,'Données projet'!$B$88,BD73+BC74-BL73)))</f>
        <v>112.58999999999993</v>
      </c>
      <c r="BE74" s="14">
        <f>BD74*VLOOKUP('Données projet'!$B$11,Paramètres!$A$1:$I$89,3,0)*VLOOKUP('Données projet'!$B$11,Paramètres!$A$1:$I$89,5,0)</f>
        <v>129.70367999999991</v>
      </c>
      <c r="BF74" s="14">
        <f t="shared" si="91"/>
        <v>33.927879389449103</v>
      </c>
      <c r="BG74" s="22">
        <f t="shared" si="61"/>
        <v>284.99163260329033</v>
      </c>
      <c r="BH74" s="62">
        <f t="shared" si="62"/>
        <v>578.32496593662358</v>
      </c>
      <c r="BI74" s="62">
        <f ca="1">AVERAGE(OFFSET($BH$3,0,0,'Données projet'!$E$11+1,1))-AVERAGE(OFFSET($H$3,0,0,'Données projet'!$E$11+1,1))</f>
        <v>165.98015798223548</v>
      </c>
      <c r="BJ74" s="62">
        <f t="shared" si="92"/>
        <v>143.97979034100706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226.83647999999994</v>
      </c>
      <c r="CA74" s="14">
        <f t="shared" si="93"/>
        <v>55.598104151587052</v>
      </c>
      <c r="CB74" s="22">
        <f t="shared" si="64"/>
        <v>491.90690073068072</v>
      </c>
      <c r="CC74" s="62">
        <f t="shared" si="65"/>
        <v>785.24023406401398</v>
      </c>
      <c r="CD74" s="62">
        <f ca="1">AVERAGE(OFFSET($CC$3,0,0,'Données projet'!$E$12+1,1))-AVERAGE(OFFSET($H$3,0,0,'Données projet'!$E$12+1,1))</f>
        <v>335.16942824912076</v>
      </c>
      <c r="CE74" s="62">
        <f t="shared" si="94"/>
        <v>190.00559730122677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152.63300189110146</v>
      </c>
      <c r="T75" s="62">
        <f t="shared" si="88"/>
        <v>236.66430374499453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5.8746235062268086</v>
      </c>
      <c r="AA75" s="23">
        <f>EXP(-LN(2)/25)*AA74+(1-EXP(-LN(2)/25))/(LN(2)/25)*Calculateur!V75*Calculateur!X75*VLOOKUP('Données projet'!$B$9,Paramètres!$A$1:$I$89,3,0)*0.475*44/12</f>
        <v>3.0556748970169192</v>
      </c>
      <c r="AB75" s="23">
        <f>EXP(-LN(2)/2)*AB74+(1-EXP(-LN(2)/2))/(LN(2)/2)*V75*Y75*VLOOKUP('Données projet'!$B$9,Paramètres!$A$1:$I$89,3,0)*0.475*44/12</f>
        <v>1.395708696821474E-6</v>
      </c>
      <c r="AC75" s="24">
        <f t="shared" si="57"/>
        <v>8.9302997989524258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7.0995999999999997</v>
      </c>
      <c r="AI75" s="14">
        <f>IF('Données projet'!$A$62&gt;35,AI74+AH75-AQ74,IF(A75&lt;'Données projet'!$A$62,$AF$205^A75,IF(A75='Données projet'!$A$62,'Données projet'!$B$62,AI74+AH75-AQ74)))</f>
        <v>295.20820000000003</v>
      </c>
      <c r="AJ75" s="14">
        <f>AI75*VLOOKUP('Données projet'!$B$10,Paramètres!$A$1:$I$89,3,0)*VLOOKUP('Données projet'!$B$10,Paramètres!$A$1:$I$89,5,0)</f>
        <v>322.36735440000001</v>
      </c>
      <c r="AK75" s="14">
        <f t="shared" si="89"/>
        <v>75.845716283201511</v>
      </c>
      <c r="AL75" s="22">
        <f t="shared" si="58"/>
        <v>693.55443143990931</v>
      </c>
      <c r="AM75" s="62">
        <f t="shared" si="59"/>
        <v>986.88776477324268</v>
      </c>
      <c r="AN75" s="62">
        <f ca="1">AVERAGE(OFFSET($AM$3,0,0,'Données projet'!$E$10+1,1))-AVERAGE(OFFSET($H$3,0,0,'Données projet'!$E$10+1,1))</f>
        <v>886.54265074144564</v>
      </c>
      <c r="AO75" s="62">
        <f t="shared" si="90"/>
        <v>254.8922423500004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2.1900000000000022</v>
      </c>
      <c r="BD75" s="13">
        <f>IF('Données projet'!$A$88&gt;35,BD74+BC75-BL74,IF(A75&lt;'Données projet'!$A$88,$BA$205^A75,IF(A75='Données projet'!$A$88,'Données projet'!$B$88,BD74+BC75-BL74)))</f>
        <v>114.77999999999993</v>
      </c>
      <c r="BE75" s="14">
        <f>BD75*VLOOKUP('Données projet'!$B$11,Paramètres!$A$1:$I$89,3,0)*VLOOKUP('Données projet'!$B$11,Paramètres!$A$1:$I$89,5,0)</f>
        <v>132.22655999999992</v>
      </c>
      <c r="BF75" s="14">
        <f t="shared" si="91"/>
        <v>34.510342361030226</v>
      </c>
      <c r="BG75" s="22">
        <f t="shared" si="61"/>
        <v>290.40010494546084</v>
      </c>
      <c r="BH75" s="62">
        <f t="shared" si="62"/>
        <v>583.73343827879421</v>
      </c>
      <c r="BI75" s="62">
        <f ca="1">AVERAGE(OFFSET($BH$3,0,0,'Données projet'!$E$11+1,1))-AVERAGE(OFFSET($H$3,0,0,'Données projet'!$E$11+1,1))</f>
        <v>165.98015798223548</v>
      </c>
      <c r="BJ75" s="62">
        <f t="shared" si="92"/>
        <v>143.97979034100706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233.02655999999993</v>
      </c>
      <c r="CA75" s="14">
        <f t="shared" si="93"/>
        <v>56.936595818361639</v>
      </c>
      <c r="CB75" s="22">
        <f t="shared" si="64"/>
        <v>505.01916305031301</v>
      </c>
      <c r="CC75" s="62">
        <f t="shared" si="65"/>
        <v>798.35249638364633</v>
      </c>
      <c r="CD75" s="62">
        <f ca="1">AVERAGE(OFFSET($CC$3,0,0,'Données projet'!$E$12+1,1))-AVERAGE(OFFSET($H$3,0,0,'Données projet'!$E$12+1,1))</f>
        <v>335.16942824912076</v>
      </c>
      <c r="CE75" s="62">
        <f t="shared" si="94"/>
        <v>190.00559730122677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152.63300189110146</v>
      </c>
      <c r="T76" s="62">
        <f t="shared" si="88"/>
        <v>236.66430374499453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5.7594257224362311</v>
      </c>
      <c r="AA76" s="23">
        <f>EXP(-LN(2)/25)*AA75+(1-EXP(-LN(2)/25))/(LN(2)/25)*Calculateur!V76*Calculateur!X76*VLOOKUP('Données projet'!$B$9,Paramètres!$A$1:$I$89,3,0)*0.475*44/12</f>
        <v>2.9721173062670325</v>
      </c>
      <c r="AB76" s="23">
        <f>EXP(-LN(2)/2)*AB75+(1-EXP(-LN(2)/2))/(LN(2)/2)*V76*Y76*VLOOKUP('Données projet'!$B$9,Paramètres!$A$1:$I$89,3,0)*0.475*44/12</f>
        <v>9.8691508408350337E-7</v>
      </c>
      <c r="AC76" s="24">
        <f t="shared" si="57"/>
        <v>8.7315440156183488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7.0995999999999997</v>
      </c>
      <c r="AI76" s="14">
        <f>IF('Données projet'!$A$62&gt;35,AI75+AH76-AQ75,IF(A76&lt;'Données projet'!$A$62,$AF$205^A76,IF(A76='Données projet'!$A$62,'Données projet'!$B$62,AI75+AH76-AQ75)))</f>
        <v>302.30780000000004</v>
      </c>
      <c r="AJ76" s="14">
        <f>AI76*VLOOKUP('Données projet'!$B$10,Paramètres!$A$1:$I$89,3,0)*VLOOKUP('Données projet'!$B$10,Paramètres!$A$1:$I$89,5,0)</f>
        <v>330.12011760000001</v>
      </c>
      <c r="AK76" s="14">
        <f t="shared" si="89"/>
        <v>77.455210087415949</v>
      </c>
      <c r="AL76" s="22">
        <f t="shared" si="58"/>
        <v>709.86036238891609</v>
      </c>
      <c r="AM76" s="62">
        <f t="shared" si="59"/>
        <v>1003.1936957222495</v>
      </c>
      <c r="AN76" s="62">
        <f ca="1">AVERAGE(OFFSET($AM$3,0,0,'Données projet'!$E$10+1,1))-AVERAGE(OFFSET($H$3,0,0,'Données projet'!$E$10+1,1))</f>
        <v>886.54265074144564</v>
      </c>
      <c r="AO76" s="62">
        <f t="shared" si="90"/>
        <v>254.8922423500004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2.1900000000000022</v>
      </c>
      <c r="BD76" s="13">
        <f>IF('Données projet'!$A$88&gt;35,BD75+BC76-BL75,IF(A76&lt;'Données projet'!$A$88,$BA$205^A76,IF(A76='Données projet'!$A$88,'Données projet'!$B$88,BD75+BC76-BL75)))</f>
        <v>116.96999999999993</v>
      </c>
      <c r="BE76" s="14">
        <f>BD76*VLOOKUP('Données projet'!$B$11,Paramètres!$A$1:$I$89,3,0)*VLOOKUP('Données projet'!$B$11,Paramètres!$A$1:$I$89,5,0)</f>
        <v>134.74943999999991</v>
      </c>
      <c r="BF76" s="14">
        <f t="shared" si="91"/>
        <v>35.091513087560159</v>
      </c>
      <c r="BG76" s="22">
        <f t="shared" si="61"/>
        <v>295.80632662750048</v>
      </c>
      <c r="BH76" s="62">
        <f t="shared" si="62"/>
        <v>589.1396599608338</v>
      </c>
      <c r="BI76" s="62">
        <f ca="1">AVERAGE(OFFSET($BH$3,0,0,'Données projet'!$E$11+1,1))-AVERAGE(OFFSET($H$3,0,0,'Données projet'!$E$11+1,1))</f>
        <v>165.98015798223548</v>
      </c>
      <c r="BJ76" s="62">
        <f t="shared" si="92"/>
        <v>143.97979034100706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239.2166399999999</v>
      </c>
      <c r="CA76" s="14">
        <f t="shared" si="93"/>
        <v>58.270954705829766</v>
      </c>
      <c r="CB76" s="22">
        <f t="shared" si="64"/>
        <v>518.12422744598666</v>
      </c>
      <c r="CC76" s="62">
        <f t="shared" si="65"/>
        <v>811.45756077931992</v>
      </c>
      <c r="CD76" s="62">
        <f ca="1">AVERAGE(OFFSET($CC$3,0,0,'Données projet'!$E$12+1,1))-AVERAGE(OFFSET($H$3,0,0,'Données projet'!$E$12+1,1))</f>
        <v>335.16942824912076</v>
      </c>
      <c r="CE76" s="62">
        <f t="shared" si="94"/>
        <v>190.00559730122677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152.63300189110146</v>
      </c>
      <c r="T77" s="62">
        <f t="shared" si="88"/>
        <v>236.66430374499453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5.6464868969220765</v>
      </c>
      <c r="AA77" s="23">
        <f>EXP(-LN(2)/25)*AA76+(1-EXP(-LN(2)/25))/(LN(2)/25)*Calculateur!V77*Calculateur!X77*VLOOKUP('Données projet'!$B$9,Paramètres!$A$1:$I$89,3,0)*0.475*44/12</f>
        <v>2.8908446022303043</v>
      </c>
      <c r="AB77" s="23">
        <f>EXP(-LN(2)/2)*AB76+(1-EXP(-LN(2)/2))/(LN(2)/2)*V77*Y77*VLOOKUP('Données projet'!$B$9,Paramètres!$A$1:$I$89,3,0)*0.475*44/12</f>
        <v>6.9785434841073698E-7</v>
      </c>
      <c r="AC77" s="24">
        <f t="shared" si="57"/>
        <v>8.5373321970067284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7.0995999999999997</v>
      </c>
      <c r="AI77" s="14">
        <f>IF('Données projet'!$A$62&gt;35,AI76+AH77-AQ76,IF(A77&lt;'Données projet'!$A$62,$AF$205^A77,IF(A77='Données projet'!$A$62,'Données projet'!$B$62,AI76+AH77-AQ76)))</f>
        <v>309.40740000000005</v>
      </c>
      <c r="AJ77" s="14">
        <f>AI77*VLOOKUP('Données projet'!$B$10,Paramètres!$A$1:$I$89,3,0)*VLOOKUP('Données projet'!$B$10,Paramètres!$A$1:$I$89,5,0)</f>
        <v>337.87288080000008</v>
      </c>
      <c r="AK77" s="14">
        <f t="shared" si="89"/>
        <v>79.060309734831961</v>
      </c>
      <c r="AL77" s="22">
        <f t="shared" si="58"/>
        <v>726.15864018149898</v>
      </c>
      <c r="AM77" s="62">
        <f t="shared" si="59"/>
        <v>1019.4919735148324</v>
      </c>
      <c r="AN77" s="62">
        <f ca="1">AVERAGE(OFFSET($AM$3,0,0,'Données projet'!$E$10+1,1))-AVERAGE(OFFSET($H$3,0,0,'Données projet'!$E$10+1,1))</f>
        <v>886.54265074144564</v>
      </c>
      <c r="AO77" s="62">
        <f t="shared" si="90"/>
        <v>254.8922423500004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2.1900000000000022</v>
      </c>
      <c r="BD77" s="13">
        <f>IF('Données projet'!$A$88&gt;35,BD76+BC77-BL76,IF(A77&lt;'Données projet'!$A$88,$BA$205^A77,IF(A77='Données projet'!$A$88,'Données projet'!$B$88,BD76+BC77-BL76)))</f>
        <v>119.15999999999993</v>
      </c>
      <c r="BE77" s="14">
        <f>BD77*VLOOKUP('Données projet'!$B$11,Paramètres!$A$1:$I$89,3,0)*VLOOKUP('Données projet'!$B$11,Paramètres!$A$1:$I$89,5,0)</f>
        <v>137.27231999999989</v>
      </c>
      <c r="BF77" s="14">
        <f t="shared" si="91"/>
        <v>35.671418553413886</v>
      </c>
      <c r="BG77" s="22">
        <f t="shared" si="61"/>
        <v>301.2103446471956</v>
      </c>
      <c r="BH77" s="62">
        <f t="shared" si="62"/>
        <v>594.54367798052886</v>
      </c>
      <c r="BI77" s="62">
        <f ca="1">AVERAGE(OFFSET($BH$3,0,0,'Données projet'!$E$11+1,1))-AVERAGE(OFFSET($H$3,0,0,'Données projet'!$E$11+1,1))</f>
        <v>165.98015798223548</v>
      </c>
      <c r="BJ77" s="62">
        <f t="shared" si="92"/>
        <v>143.97979034100706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245.40671999999989</v>
      </c>
      <c r="CA77" s="14">
        <f t="shared" si="93"/>
        <v>59.601300051016182</v>
      </c>
      <c r="CB77" s="22">
        <f t="shared" si="64"/>
        <v>531.22230158885293</v>
      </c>
      <c r="CC77" s="62">
        <f t="shared" si="65"/>
        <v>824.5556349221863</v>
      </c>
      <c r="CD77" s="62">
        <f ca="1">AVERAGE(OFFSET($CC$3,0,0,'Données projet'!$E$12+1,1))-AVERAGE(OFFSET($H$3,0,0,'Données projet'!$E$12+1,1))</f>
        <v>335.16942824912076</v>
      </c>
      <c r="CE77" s="62">
        <f t="shared" si="94"/>
        <v>190.00559730122677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152.63300189110146</v>
      </c>
      <c r="T78" s="62">
        <f t="shared" si="88"/>
        <v>236.66430374499453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5.5357627328903733</v>
      </c>
      <c r="AA78" s="23">
        <f>EXP(-LN(2)/25)*AA77+(1-EXP(-LN(2)/25))/(LN(2)/25)*Calculateur!V78*Calculateur!X78*VLOOKUP('Données projet'!$B$9,Paramètres!$A$1:$I$89,3,0)*0.475*44/12</f>
        <v>2.811794304559406</v>
      </c>
      <c r="AB78" s="23">
        <f>EXP(-LN(2)/2)*AB77+(1-EXP(-LN(2)/2))/(LN(2)/2)*V78*Y78*VLOOKUP('Données projet'!$B$9,Paramètres!$A$1:$I$89,3,0)*0.475*44/12</f>
        <v>4.9345754204175169E-7</v>
      </c>
      <c r="AC78" s="24">
        <f t="shared" si="57"/>
        <v>8.34755753090732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7.0995999999999997</v>
      </c>
      <c r="AI78" s="14">
        <f>IF('Données projet'!$A$62&gt;35,AI77+AH78-AQ77,IF(A78&lt;'Données projet'!$A$62,$AF$205^A78,IF(A78='Données projet'!$A$62,'Données projet'!$B$62,AI77+AH78-AQ77)))</f>
        <v>316.50700000000006</v>
      </c>
      <c r="AJ78" s="14">
        <f>AI78*VLOOKUP('Données projet'!$B$10,Paramètres!$A$1:$I$89,3,0)*VLOOKUP('Données projet'!$B$10,Paramètres!$A$1:$I$89,5,0)</f>
        <v>345.62564400000008</v>
      </c>
      <c r="AK78" s="14">
        <f t="shared" si="89"/>
        <v>80.661127658952921</v>
      </c>
      <c r="AL78" s="22">
        <f t="shared" si="58"/>
        <v>742.44946063934322</v>
      </c>
      <c r="AM78" s="62">
        <f t="shared" si="59"/>
        <v>1035.7827939726765</v>
      </c>
      <c r="AN78" s="62">
        <f ca="1">AVERAGE(OFFSET($AM$3,0,0,'Données projet'!$E$10+1,1))-AVERAGE(OFFSET($H$3,0,0,'Données projet'!$E$10+1,1))</f>
        <v>886.54265074144564</v>
      </c>
      <c r="AO78" s="62">
        <f t="shared" si="90"/>
        <v>254.8922423500004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2.1900000000000022</v>
      </c>
      <c r="BD78" s="13">
        <f>IF('Données projet'!$A$88&gt;35,BD77+BC78-BL77,IF(A78&lt;'Données projet'!$A$88,$BA$205^A78,IF(A78='Données projet'!$A$88,'Données projet'!$B$88,BD77+BC78-BL77)))</f>
        <v>121.34999999999992</v>
      </c>
      <c r="BE78" s="14">
        <f>BD78*VLOOKUP('Données projet'!$B$11,Paramètres!$A$1:$I$89,3,0)*VLOOKUP('Données projet'!$B$11,Paramètres!$A$1:$I$89,5,0)</f>
        <v>139.79519999999991</v>
      </c>
      <c r="BF78" s="14">
        <f t="shared" si="91"/>
        <v>36.25008469431166</v>
      </c>
      <c r="BG78" s="22">
        <f t="shared" si="61"/>
        <v>306.61220417592597</v>
      </c>
      <c r="BH78" s="62">
        <f t="shared" si="62"/>
        <v>599.94553750925934</v>
      </c>
      <c r="BI78" s="62">
        <f ca="1">AVERAGE(OFFSET($BH$3,0,0,'Données projet'!$E$11+1,1))-AVERAGE(OFFSET($H$3,0,0,'Données projet'!$E$11+1,1))</f>
        <v>165.98015798223548</v>
      </c>
      <c r="BJ78" s="62">
        <f t="shared" si="92"/>
        <v>143.97979034100706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251.59679999999992</v>
      </c>
      <c r="CA78" s="14">
        <f t="shared" si="93"/>
        <v>60.927744732950671</v>
      </c>
      <c r="CB78" s="22">
        <f t="shared" si="64"/>
        <v>544.31358207655558</v>
      </c>
      <c r="CC78" s="62">
        <f t="shared" si="65"/>
        <v>837.64691540988883</v>
      </c>
      <c r="CD78" s="62">
        <f ca="1">AVERAGE(OFFSET($CC$3,0,0,'Données projet'!$E$12+1,1))-AVERAGE(OFFSET($H$3,0,0,'Données projet'!$E$12+1,1))</f>
        <v>335.16942824912076</v>
      </c>
      <c r="CE78" s="62">
        <f t="shared" si="94"/>
        <v>190.00559730122677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152.63300189110146</v>
      </c>
      <c r="T79" s="62">
        <f t="shared" si="88"/>
        <v>236.66430374499453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5.4272098021802604</v>
      </c>
      <c r="AA79" s="23">
        <f>EXP(-LN(2)/25)*AA78+(1-EXP(-LN(2)/25))/(LN(2)/25)*Calculateur!V79*Calculateur!X79*VLOOKUP('Données projet'!$B$9,Paramètres!$A$1:$I$89,3,0)*0.475*44/12</f>
        <v>2.7349056414353932</v>
      </c>
      <c r="AB79" s="23">
        <f>EXP(-LN(2)/2)*AB78+(1-EXP(-LN(2)/2))/(LN(2)/2)*V79*Y79*VLOOKUP('Données projet'!$B$9,Paramètres!$A$1:$I$89,3,0)*0.475*44/12</f>
        <v>3.4892717420536849E-7</v>
      </c>
      <c r="AC79" s="24">
        <f t="shared" si="57"/>
        <v>8.1621157925428278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7.0995999999999997</v>
      </c>
      <c r="AI79" s="14">
        <f>IF('Données projet'!$A$62&gt;35,AI78+AH79-AQ78,IF(A79&lt;'Données projet'!$A$62,$AF$205^A79,IF(A79='Données projet'!$A$62,'Données projet'!$B$62,AI78+AH79-AQ78)))</f>
        <v>323.60660000000007</v>
      </c>
      <c r="AJ79" s="14">
        <f>AI79*VLOOKUP('Données projet'!$B$10,Paramètres!$A$1:$I$89,3,0)*VLOOKUP('Données projet'!$B$10,Paramètres!$A$1:$I$89,5,0)</f>
        <v>353.37840720000003</v>
      </c>
      <c r="AK79" s="14">
        <f t="shared" si="89"/>
        <v>82.257770961324212</v>
      </c>
      <c r="AL79" s="22">
        <f t="shared" si="58"/>
        <v>758.73301029763968</v>
      </c>
      <c r="AM79" s="62">
        <f t="shared" si="59"/>
        <v>1052.0663436309731</v>
      </c>
      <c r="AN79" s="62">
        <f ca="1">AVERAGE(OFFSET($AM$3,0,0,'Données projet'!$E$10+1,1))-AVERAGE(OFFSET($H$3,0,0,'Données projet'!$E$10+1,1))</f>
        <v>886.54265074144564</v>
      </c>
      <c r="AO79" s="62">
        <f t="shared" si="90"/>
        <v>254.8922423500004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2.1900000000000022</v>
      </c>
      <c r="BD79" s="13">
        <f>IF('Données projet'!$A$88&gt;35,BD78+BC79-BL78,IF(A79&lt;'Données projet'!$A$88,$BA$205^A79,IF(A79='Données projet'!$A$88,'Données projet'!$B$88,BD78+BC79-BL78)))</f>
        <v>123.53999999999992</v>
      </c>
      <c r="BE79" s="14">
        <f>BD79*VLOOKUP('Données projet'!$B$11,Paramètres!$A$1:$I$89,3,0)*VLOOKUP('Données projet'!$B$11,Paramètres!$A$1:$I$89,5,0)</f>
        <v>142.3180799999999</v>
      </c>
      <c r="BF79" s="14">
        <f t="shared" si="91"/>
        <v>36.827536456247891</v>
      </c>
      <c r="BG79" s="22">
        <f t="shared" si="61"/>
        <v>312.01194866129816</v>
      </c>
      <c r="BH79" s="62">
        <f t="shared" si="62"/>
        <v>605.34528199463148</v>
      </c>
      <c r="BI79" s="62">
        <f ca="1">AVERAGE(OFFSET($BH$3,0,0,'Données projet'!$E$11+1,1))-AVERAGE(OFFSET($H$3,0,0,'Données projet'!$E$11+1,1))</f>
        <v>165.98015798223548</v>
      </c>
      <c r="BJ79" s="62">
        <f t="shared" si="92"/>
        <v>143.97979034100706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257.58719999999988</v>
      </c>
      <c r="CA79" s="14">
        <f t="shared" si="93"/>
        <v>62.207787758044454</v>
      </c>
      <c r="CB79" s="22">
        <f t="shared" si="64"/>
        <v>556.97627034526056</v>
      </c>
      <c r="CC79" s="62">
        <f t="shared" si="65"/>
        <v>850.30960367859393</v>
      </c>
      <c r="CD79" s="62">
        <f ca="1">AVERAGE(OFFSET($CC$3,0,0,'Données projet'!$E$12+1,1))-AVERAGE(OFFSET($H$3,0,0,'Données projet'!$E$12+1,1))</f>
        <v>335.16942824912076</v>
      </c>
      <c r="CE79" s="62">
        <f t="shared" si="94"/>
        <v>190.00559730122677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152.63300189110146</v>
      </c>
      <c r="T80" s="62">
        <f t="shared" si="88"/>
        <v>236.66430374499453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5.3207855282306227</v>
      </c>
      <c r="AA80" s="23">
        <f>EXP(-LN(2)/25)*AA79+(1-EXP(-LN(2)/25))/(LN(2)/25)*Calculateur!V80*Calculateur!X80*VLOOKUP('Données projet'!$B$9,Paramètres!$A$1:$I$89,3,0)*0.475*44/12</f>
        <v>2.6601195028479054</v>
      </c>
      <c r="AB80" s="23">
        <f>EXP(-LN(2)/2)*AB79+(1-EXP(-LN(2)/2))/(LN(2)/2)*V80*Y80*VLOOKUP('Données projet'!$B$9,Paramètres!$A$1:$I$89,3,0)*0.475*44/12</f>
        <v>2.4672877102087584E-7</v>
      </c>
      <c r="AC80" s="24">
        <f t="shared" si="57"/>
        <v>7.9809052778072989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7.0995999999999997</v>
      </c>
      <c r="AI80" s="14">
        <f>IF('Données projet'!$A$62&gt;35,AI79+AH80-AQ79,IF(A80&lt;'Données projet'!$A$62,$AF$205^A80,IF(A80='Données projet'!$A$62,'Données projet'!$B$62,AI79+AH80-AQ79)))</f>
        <v>330.70620000000008</v>
      </c>
      <c r="AJ80" s="14">
        <f>AI80*VLOOKUP('Données projet'!$B$10,Paramètres!$A$1:$I$89,3,0)*VLOOKUP('Données projet'!$B$10,Paramètres!$A$1:$I$89,5,0)</f>
        <v>361.13117040000009</v>
      </c>
      <c r="AK80" s="14">
        <f t="shared" si="89"/>
        <v>83.850341775734563</v>
      </c>
      <c r="AL80" s="22">
        <f t="shared" si="58"/>
        <v>775.00946703940451</v>
      </c>
      <c r="AM80" s="62">
        <f t="shared" si="59"/>
        <v>1068.3428003727379</v>
      </c>
      <c r="AN80" s="62">
        <f ca="1">AVERAGE(OFFSET($AM$3,0,0,'Données projet'!$E$10+1,1))-AVERAGE(OFFSET($H$3,0,0,'Données projet'!$E$10+1,1))</f>
        <v>886.54265074144564</v>
      </c>
      <c r="AO80" s="62">
        <f t="shared" si="90"/>
        <v>254.8922423500004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2.1900000000000022</v>
      </c>
      <c r="BD80" s="13">
        <f>IF('Données projet'!$A$88&gt;35,BD79+BC80-BL79,IF(A80&lt;'Données projet'!$A$88,$BA$205^A80,IF(A80='Données projet'!$A$88,'Données projet'!$B$88,BD79+BC80-BL79)))</f>
        <v>125.72999999999992</v>
      </c>
      <c r="BE80" s="14">
        <f>BD80*VLOOKUP('Données projet'!$B$11,Paramètres!$A$1:$I$89,3,0)*VLOOKUP('Données projet'!$B$11,Paramètres!$A$1:$I$89,5,0)</f>
        <v>144.84095999999988</v>
      </c>
      <c r="BF80" s="14">
        <f t="shared" si="91"/>
        <v>37.403797850123219</v>
      </c>
      <c r="BG80" s="22">
        <f t="shared" si="61"/>
        <v>317.40961992229774</v>
      </c>
      <c r="BH80" s="62">
        <f t="shared" si="62"/>
        <v>610.74295325563105</v>
      </c>
      <c r="BI80" s="62">
        <f ca="1">AVERAGE(OFFSET($BH$3,0,0,'Données projet'!$E$11+1,1))-AVERAGE(OFFSET($H$3,0,0,'Données projet'!$E$11+1,1))</f>
        <v>165.98015798223548</v>
      </c>
      <c r="BJ80" s="62">
        <f t="shared" si="92"/>
        <v>143.97979034100706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263.5775999999999</v>
      </c>
      <c r="CA80" s="14">
        <f t="shared" si="93"/>
        <v>63.484370092414963</v>
      </c>
      <c r="CB80" s="22">
        <f t="shared" si="64"/>
        <v>569.63293124428924</v>
      </c>
      <c r="CC80" s="62">
        <f t="shared" si="65"/>
        <v>862.9662645776225</v>
      </c>
      <c r="CD80" s="62">
        <f ca="1">AVERAGE(OFFSET($CC$3,0,0,'Données projet'!$E$12+1,1))-AVERAGE(OFFSET($H$3,0,0,'Données projet'!$E$12+1,1))</f>
        <v>335.16942824912076</v>
      </c>
      <c r="CE80" s="62">
        <f t="shared" si="94"/>
        <v>190.00559730122677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152.63300189110146</v>
      </c>
      <c r="T81" s="62">
        <f t="shared" si="88"/>
        <v>236.66430374499453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5.2164481693807394</v>
      </c>
      <c r="AA81" s="23">
        <f>EXP(-LN(2)/25)*AA80+(1-EXP(-LN(2)/25))/(LN(2)/25)*Calculateur!V81*Calculateur!X81*VLOOKUP('Données projet'!$B$9,Paramètres!$A$1:$I$89,3,0)*0.475*44/12</f>
        <v>2.5873783951529248</v>
      </c>
      <c r="AB81" s="23">
        <f>EXP(-LN(2)/2)*AB80+(1-EXP(-LN(2)/2))/(LN(2)/2)*V81*Y81*VLOOKUP('Données projet'!$B$9,Paramètres!$A$1:$I$89,3,0)*0.475*44/12</f>
        <v>1.7446358710268425E-7</v>
      </c>
      <c r="AC81" s="24">
        <f t="shared" si="57"/>
        <v>7.8038267389972509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7.0995999999999997</v>
      </c>
      <c r="AI81" s="14">
        <f>IF('Données projet'!$A$62&gt;35,AI80+AH81-AQ80,IF(A81&lt;'Données projet'!$A$62,$AF$205^A81,IF(A81='Données projet'!$A$62,'Données projet'!$B$62,AI80+AH81-AQ80)))</f>
        <v>337.80580000000009</v>
      </c>
      <c r="AJ81" s="14">
        <f>AI81*VLOOKUP('Données projet'!$B$10,Paramètres!$A$1:$I$89,3,0)*VLOOKUP('Données projet'!$B$10,Paramètres!$A$1:$I$89,5,0)</f>
        <v>368.88393360000009</v>
      </c>
      <c r="AK81" s="14">
        <f t="shared" si="89"/>
        <v>85.43893760026063</v>
      </c>
      <c r="AL81" s="22">
        <f t="shared" si="58"/>
        <v>791.27900067378732</v>
      </c>
      <c r="AM81" s="62">
        <f t="shared" si="59"/>
        <v>1084.6123340071206</v>
      </c>
      <c r="AN81" s="62">
        <f ca="1">AVERAGE(OFFSET($AM$3,0,0,'Données projet'!$E$10+1,1))-AVERAGE(OFFSET($H$3,0,0,'Données projet'!$E$10+1,1))</f>
        <v>886.54265074144564</v>
      </c>
      <c r="AO81" s="62">
        <f t="shared" si="90"/>
        <v>254.8922423500004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2.1900000000000022</v>
      </c>
      <c r="BD81" s="13">
        <f>IF('Données projet'!$A$88&gt;35,BD80+BC81-BL80,IF(A81&lt;'Données projet'!$A$88,$BA$205^A81,IF(A81='Données projet'!$A$88,'Données projet'!$B$88,BD80+BC81-BL80)))</f>
        <v>127.91999999999992</v>
      </c>
      <c r="BE81" s="14">
        <f>BD81*VLOOKUP('Données projet'!$B$11,Paramètres!$A$1:$I$89,3,0)*VLOOKUP('Données projet'!$B$11,Paramètres!$A$1:$I$89,5,0)</f>
        <v>147.3638399999999</v>
      </c>
      <c r="BF81" s="14">
        <f t="shared" si="91"/>
        <v>37.978892002462338</v>
      </c>
      <c r="BG81" s="22">
        <f t="shared" si="61"/>
        <v>322.80525823762173</v>
      </c>
      <c r="BH81" s="62">
        <f t="shared" si="62"/>
        <v>616.13859157095499</v>
      </c>
      <c r="BI81" s="62">
        <f ca="1">AVERAGE(OFFSET($BH$3,0,0,'Données projet'!$E$11+1,1))-AVERAGE(OFFSET($H$3,0,0,'Données projet'!$E$11+1,1))</f>
        <v>165.98015798223548</v>
      </c>
      <c r="BJ81" s="62">
        <f t="shared" si="92"/>
        <v>143.97979034100706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269.56799999999987</v>
      </c>
      <c r="CA81" s="14">
        <f t="shared" si="93"/>
        <v>64.757579442439805</v>
      </c>
      <c r="CB81" s="22">
        <f t="shared" si="64"/>
        <v>582.28371752891576</v>
      </c>
      <c r="CC81" s="62">
        <f t="shared" si="65"/>
        <v>875.61705086224902</v>
      </c>
      <c r="CD81" s="62">
        <f ca="1">AVERAGE(OFFSET($CC$3,0,0,'Données projet'!$E$12+1,1))-AVERAGE(OFFSET($H$3,0,0,'Données projet'!$E$12+1,1))</f>
        <v>335.16942824912076</v>
      </c>
      <c r="CE81" s="62">
        <f t="shared" si="94"/>
        <v>190.00559730122677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152.63300189110146</v>
      </c>
      <c r="T82" s="62">
        <f t="shared" si="88"/>
        <v>236.66430374499453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5.1141568024983979</v>
      </c>
      <c r="AA82" s="23">
        <f>EXP(-LN(2)/25)*AA81+(1-EXP(-LN(2)/25))/(LN(2)/25)*Calculateur!V82*Calculateur!X82*VLOOKUP('Données projet'!$B$9,Paramètres!$A$1:$I$89,3,0)*0.475*44/12</f>
        <v>2.5166263968731517</v>
      </c>
      <c r="AB82" s="23">
        <f>EXP(-LN(2)/2)*AB81+(1-EXP(-LN(2)/2))/(LN(2)/2)*V82*Y82*VLOOKUP('Données projet'!$B$9,Paramètres!$A$1:$I$89,3,0)*0.475*44/12</f>
        <v>1.2336438551043792E-7</v>
      </c>
      <c r="AC82" s="24">
        <f t="shared" si="57"/>
        <v>7.630783322735935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7.0995999999999997</v>
      </c>
      <c r="AI82" s="14">
        <f>IF('Données projet'!$A$62&gt;35,AI81+AH82-AQ81,IF(A82&lt;'Données projet'!$A$62,$AF$205^A82,IF(A82='Données projet'!$A$62,'Données projet'!$B$62,AI81+AH82-AQ81)))</f>
        <v>344.9054000000001</v>
      </c>
      <c r="AJ82" s="14">
        <f>AI82*VLOOKUP('Données projet'!$B$10,Paramètres!$A$1:$I$89,3,0)*VLOOKUP('Données projet'!$B$10,Paramètres!$A$1:$I$89,5,0)</f>
        <v>376.6366968000001</v>
      </c>
      <c r="AK82" s="14">
        <f t="shared" si="89"/>
        <v>87.023651600609767</v>
      </c>
      <c r="AL82" s="22">
        <f t="shared" si="58"/>
        <v>807.54177346439553</v>
      </c>
      <c r="AM82" s="62">
        <f t="shared" si="59"/>
        <v>1100.8751067977289</v>
      </c>
      <c r="AN82" s="62">
        <f ca="1">AVERAGE(OFFSET($AM$3,0,0,'Données projet'!$E$10+1,1))-AVERAGE(OFFSET($H$3,0,0,'Données projet'!$E$10+1,1))</f>
        <v>886.54265074144564</v>
      </c>
      <c r="AO82" s="62">
        <f t="shared" si="90"/>
        <v>254.8922423500004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2.1900000000000022</v>
      </c>
      <c r="BD82" s="13">
        <f>IF('Données projet'!$A$88&gt;35,BD81+BC82-BL81,IF(A82&lt;'Données projet'!$A$88,$BA$205^A82,IF(A82='Données projet'!$A$88,'Données projet'!$B$88,BD81+BC82-BL81)))</f>
        <v>130.10999999999993</v>
      </c>
      <c r="BE82" s="14">
        <f>BD82*VLOOKUP('Données projet'!$B$11,Paramètres!$A$1:$I$89,3,0)*VLOOKUP('Données projet'!$B$11,Paramètres!$A$1:$I$89,5,0)</f>
        <v>149.88671999999991</v>
      </c>
      <c r="BF82" s="14">
        <f t="shared" si="91"/>
        <v>38.552841202560288</v>
      </c>
      <c r="BG82" s="22">
        <f t="shared" si="61"/>
        <v>328.19890242779229</v>
      </c>
      <c r="BH82" s="62">
        <f t="shared" si="62"/>
        <v>621.53223576112555</v>
      </c>
      <c r="BI82" s="62">
        <f ca="1">AVERAGE(OFFSET($BH$3,0,0,'Données projet'!$E$11+1,1))-AVERAGE(OFFSET($H$3,0,0,'Données projet'!$E$11+1,1))</f>
        <v>165.98015798223548</v>
      </c>
      <c r="BJ82" s="62">
        <f t="shared" si="92"/>
        <v>143.97979034100706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275.55839999999989</v>
      </c>
      <c r="CA82" s="14">
        <f t="shared" si="93"/>
        <v>66.027499393878998</v>
      </c>
      <c r="CB82" s="22">
        <f t="shared" si="64"/>
        <v>594.9287747776724</v>
      </c>
      <c r="CC82" s="62">
        <f t="shared" si="65"/>
        <v>888.26210811100577</v>
      </c>
      <c r="CD82" s="62">
        <f ca="1">AVERAGE(OFFSET($CC$3,0,0,'Données projet'!$E$12+1,1))-AVERAGE(OFFSET($H$3,0,0,'Données projet'!$E$12+1,1))</f>
        <v>335.16942824912076</v>
      </c>
      <c r="CE82" s="62">
        <f t="shared" si="94"/>
        <v>190.00559730122677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152.63300189110146</v>
      </c>
      <c r="T83" s="62">
        <f t="shared" si="88"/>
        <v>236.66430374499453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5.0138713069290457</v>
      </c>
      <c r="AA83" s="23">
        <f>EXP(-LN(2)/25)*AA82+(1-EXP(-LN(2)/25))/(LN(2)/25)*Calculateur!V83*Calculateur!X83*VLOOKUP('Données projet'!$B$9,Paramètres!$A$1:$I$89,3,0)*0.475*44/12</f>
        <v>2.4478091157070252</v>
      </c>
      <c r="AB83" s="23">
        <f>EXP(-LN(2)/2)*AB82+(1-EXP(-LN(2)/2))/(LN(2)/2)*V83*Y83*VLOOKUP('Données projet'!$B$9,Paramètres!$A$1:$I$89,3,0)*0.475*44/12</f>
        <v>8.7231793551342123E-8</v>
      </c>
      <c r="AC83" s="24">
        <f t="shared" si="57"/>
        <v>7.4616805098678647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7.0995999999999997</v>
      </c>
      <c r="AI83" s="14">
        <f>IF('Données projet'!$A$62&gt;35,AI82+AH83-AQ82,IF(A83&lt;'Données projet'!$A$62,$AF$205^A83,IF(A83='Données projet'!$A$62,'Données projet'!$B$62,AI82+AH83-AQ82)))</f>
        <v>352.00500000000011</v>
      </c>
      <c r="AJ83" s="14">
        <f>AI83*VLOOKUP('Données projet'!$B$10,Paramètres!$A$1:$I$89,3,0)*VLOOKUP('Données projet'!$B$10,Paramètres!$A$1:$I$89,5,0)</f>
        <v>384.3894600000001</v>
      </c>
      <c r="AK83" s="14">
        <f t="shared" si="89"/>
        <v>88.604572887781131</v>
      </c>
      <c r="AL83" s="22">
        <f t="shared" si="58"/>
        <v>823.79794061288567</v>
      </c>
      <c r="AM83" s="62">
        <f t="shared" si="59"/>
        <v>1117.1312739462189</v>
      </c>
      <c r="AN83" s="62">
        <f ca="1">AVERAGE(OFFSET($AM$3,0,0,'Données projet'!$E$10+1,1))-AVERAGE(OFFSET($H$3,0,0,'Données projet'!$E$10+1,1))</f>
        <v>886.54265074144564</v>
      </c>
      <c r="AO83" s="62">
        <f t="shared" si="90"/>
        <v>254.8922423500004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132.30000000000001</v>
      </c>
      <c r="BB83" s="13">
        <f>VLOOKUP(A83,'Données projet'!$A$87:$I$107,9,0)</f>
        <v>2.1900000000000022</v>
      </c>
      <c r="BC83" s="13">
        <f t="array" ref="BC83">INDEX(BB:BB,MIN(IF(ISNUMBER(BB83:BB279),ROW(BB83:BB279),"")))</f>
        <v>2.1900000000000022</v>
      </c>
      <c r="BD83" s="13">
        <f>IF('Données projet'!$A$88&gt;35,BD82+BC83-BL82,IF(A83&lt;'Données projet'!$A$88,$BA$205^A83,IF(A83='Données projet'!$A$88,'Données projet'!$B$88,BD82+BC83-BL82)))</f>
        <v>132.29999999999993</v>
      </c>
      <c r="BE83" s="14">
        <f>BD83*VLOOKUP('Données projet'!$B$11,Paramètres!$A$1:$I$89,3,0)*VLOOKUP('Données projet'!$B$11,Paramètres!$A$1:$I$89,5,0)</f>
        <v>152.4095999999999</v>
      </c>
      <c r="BF83" s="14">
        <f t="shared" si="91"/>
        <v>39.125666946364603</v>
      </c>
      <c r="BG83" s="22">
        <f t="shared" si="61"/>
        <v>333.59058993158482</v>
      </c>
      <c r="BH83" s="62">
        <f t="shared" si="62"/>
        <v>626.92392326491813</v>
      </c>
      <c r="BI83" s="62">
        <f ca="1">AVERAGE(OFFSET($BH$3,0,0,'Données projet'!$E$11+1,1))-AVERAGE(OFFSET($H$3,0,0,'Données projet'!$E$11+1,1))</f>
        <v>165.98015798223548</v>
      </c>
      <c r="BJ83" s="62">
        <f t="shared" si="92"/>
        <v>143.97979034100706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14.2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281.54879999999991</v>
      </c>
      <c r="CA83" s="14">
        <f t="shared" si="93"/>
        <v>67.29420969077313</v>
      </c>
      <c r="CB83" s="22">
        <f t="shared" si="64"/>
        <v>607.56824187809627</v>
      </c>
      <c r="CC83" s="62">
        <f t="shared" si="65"/>
        <v>900.90157521142964</v>
      </c>
      <c r="CD83" s="62">
        <f ca="1">AVERAGE(OFFSET($CC$3,0,0,'Données projet'!$E$12+1,1))-AVERAGE(OFFSET($H$3,0,0,'Données projet'!$E$12+1,1))</f>
        <v>335.16942824912076</v>
      </c>
      <c r="CE83" s="62">
        <f t="shared" si="94"/>
        <v>190.00559730122677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152.63300189110146</v>
      </c>
      <c r="T84" s="62">
        <f t="shared" si="88"/>
        <v>236.66430374499453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4.9155523487596966</v>
      </c>
      <c r="AA84" s="23">
        <f>EXP(-LN(2)/25)*AA83+(1-EXP(-LN(2)/25))/(LN(2)/25)*Calculateur!V84*Calculateur!X84*VLOOKUP('Données projet'!$B$9,Paramètres!$A$1:$I$89,3,0)*0.475*44/12</f>
        <v>2.3808736467133298</v>
      </c>
      <c r="AB84" s="23">
        <f>EXP(-LN(2)/2)*AB83+(1-EXP(-LN(2)/2))/(LN(2)/2)*V84*Y84*VLOOKUP('Données projet'!$B$9,Paramètres!$A$1:$I$89,3,0)*0.475*44/12</f>
        <v>6.1682192755218961E-8</v>
      </c>
      <c r="AC84" s="24">
        <f t="shared" si="57"/>
        <v>7.2964260571552186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7.0995999999999997</v>
      </c>
      <c r="AI84" s="14">
        <f>IF('Données projet'!$A$62&gt;35,AI83+AH84-AQ83,IF(A84&lt;'Données projet'!$A$62,$AF$205^A84,IF(A84='Données projet'!$A$62,'Données projet'!$B$62,AI83+AH84-AQ83)))</f>
        <v>359.10460000000012</v>
      </c>
      <c r="AJ84" s="14">
        <f>AI84*VLOOKUP('Données projet'!$B$10,Paramètres!$A$1:$I$89,3,0)*VLOOKUP('Données projet'!$B$10,Paramètres!$A$1:$I$89,5,0)</f>
        <v>392.1422232000001</v>
      </c>
      <c r="AK84" s="14">
        <f t="shared" si="89"/>
        <v>90.181786772693826</v>
      </c>
      <c r="AL84" s="22">
        <f t="shared" si="58"/>
        <v>840.04765070244184</v>
      </c>
      <c r="AM84" s="62">
        <f t="shared" si="59"/>
        <v>1133.3809840357751</v>
      </c>
      <c r="AN84" s="62">
        <f ca="1">AVERAGE(OFFSET($AM$3,0,0,'Données projet'!$E$10+1,1))-AVERAGE(OFFSET($H$3,0,0,'Données projet'!$E$10+1,1))</f>
        <v>886.54265074144564</v>
      </c>
      <c r="AO84" s="62">
        <f t="shared" si="90"/>
        <v>254.8922423500004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2.089999999999999</v>
      </c>
      <c r="BD84" s="13">
        <f>IF('Données projet'!$A$88&gt;35,BD83+BC84-BL83,IF(A84&lt;'Données projet'!$A$88,$BA$205^A84,IF(A84='Données projet'!$A$88,'Données projet'!$B$88,BD83+BC84-BL83)))</f>
        <v>120.18999999999993</v>
      </c>
      <c r="BE84" s="14">
        <f>BD84*VLOOKUP('Données projet'!$B$11,Paramètres!$A$1:$I$89,3,0)*VLOOKUP('Données projet'!$B$11,Paramètres!$A$1:$I$89,5,0)</f>
        <v>138.45887999999991</v>
      </c>
      <c r="BF84" s="14">
        <f t="shared" si="91"/>
        <v>35.943729425814894</v>
      </c>
      <c r="BG84" s="22">
        <f t="shared" si="61"/>
        <v>303.75121141662743</v>
      </c>
      <c r="BH84" s="62">
        <f t="shared" si="62"/>
        <v>597.08454474996074</v>
      </c>
      <c r="BI84" s="62">
        <f ca="1">AVERAGE(OFFSET($BH$3,0,0,'Données projet'!$E$11+1,1))-AVERAGE(OFFSET($H$3,0,0,'Données projet'!$E$11+1,1))</f>
        <v>165.98015798223548</v>
      </c>
      <c r="BJ84" s="62">
        <f t="shared" si="92"/>
        <v>143.97979034100706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245.20703999999992</v>
      </c>
      <c r="CA84" s="14">
        <f t="shared" si="93"/>
        <v>59.558447159721879</v>
      </c>
      <c r="CB84" s="22">
        <f t="shared" si="64"/>
        <v>530.7998901365155</v>
      </c>
      <c r="CC84" s="62">
        <f t="shared" si="65"/>
        <v>824.13322346984887</v>
      </c>
      <c r="CD84" s="62">
        <f ca="1">AVERAGE(OFFSET($CC$3,0,0,'Données projet'!$E$12+1,1))-AVERAGE(OFFSET($H$3,0,0,'Données projet'!$E$12+1,1))</f>
        <v>335.16942824912076</v>
      </c>
      <c r="CE84" s="62">
        <f t="shared" si="94"/>
        <v>190.00559730122677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152.63300189110146</v>
      </c>
      <c r="T85" s="62">
        <f t="shared" si="88"/>
        <v>236.66430374499453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4.8191613653914045</v>
      </c>
      <c r="AA85" s="23">
        <f>EXP(-LN(2)/25)*AA84+(1-EXP(-LN(2)/25))/(LN(2)/25)*Calculateur!V85*Calculateur!X85*VLOOKUP('Données projet'!$B$9,Paramètres!$A$1:$I$89,3,0)*0.475*44/12</f>
        <v>2.3157685316392502</v>
      </c>
      <c r="AB85" s="23">
        <f>EXP(-LN(2)/2)*AB84+(1-EXP(-LN(2)/2))/(LN(2)/2)*V85*Y85*VLOOKUP('Données projet'!$B$9,Paramètres!$A$1:$I$89,3,0)*0.475*44/12</f>
        <v>4.3615896775671062E-8</v>
      </c>
      <c r="AC85" s="24">
        <f t="shared" si="57"/>
        <v>7.1349299406465514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7.0995999999999997</v>
      </c>
      <c r="AI85" s="14">
        <f>IF('Données projet'!$A$62&gt;35,AI84+AH85-AQ84,IF(A85&lt;'Données projet'!$A$62,$AF$205^A85,IF(A85='Données projet'!$A$62,'Données projet'!$B$62,AI84+AH85-AQ84)))</f>
        <v>366.20420000000013</v>
      </c>
      <c r="AJ85" s="14">
        <f>AI85*VLOOKUP('Données projet'!$B$10,Paramètres!$A$1:$I$89,3,0)*VLOOKUP('Données projet'!$B$10,Paramètres!$A$1:$I$89,5,0)</f>
        <v>399.89498640000011</v>
      </c>
      <c r="AK85" s="14">
        <f t="shared" si="89"/>
        <v>91.755375000109311</v>
      </c>
      <c r="AL85" s="22">
        <f t="shared" si="58"/>
        <v>856.2910461051905</v>
      </c>
      <c r="AM85" s="62">
        <f t="shared" si="59"/>
        <v>1149.6243794385239</v>
      </c>
      <c r="AN85" s="62">
        <f ca="1">AVERAGE(OFFSET($AM$3,0,0,'Données projet'!$E$10+1,1))-AVERAGE(OFFSET($H$3,0,0,'Données projet'!$E$10+1,1))</f>
        <v>886.54265074144564</v>
      </c>
      <c r="AO85" s="62">
        <f t="shared" si="90"/>
        <v>254.8922423500004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2.089999999999999</v>
      </c>
      <c r="BD85" s="13">
        <f>IF('Données projet'!$A$88&gt;35,BD84+BC85-BL84,IF(A85&lt;'Données projet'!$A$88,$BA$205^A85,IF(A85='Données projet'!$A$88,'Données projet'!$B$88,BD84+BC85-BL84)))</f>
        <v>122.27999999999993</v>
      </c>
      <c r="BE85" s="14">
        <f>BD85*VLOOKUP('Données projet'!$B$11,Paramètres!$A$1:$I$89,3,0)*VLOOKUP('Données projet'!$B$11,Paramètres!$A$1:$I$89,5,0)</f>
        <v>140.86655999999991</v>
      </c>
      <c r="BF85" s="14">
        <f t="shared" si="91"/>
        <v>36.495450872622129</v>
      </c>
      <c r="BG85" s="22">
        <f t="shared" si="61"/>
        <v>308.90550226981668</v>
      </c>
      <c r="BH85" s="62">
        <f t="shared" si="62"/>
        <v>602.23883560314994</v>
      </c>
      <c r="BI85" s="62">
        <f ca="1">AVERAGE(OFFSET($BH$3,0,0,'Données projet'!$E$11+1,1))-AVERAGE(OFFSET($H$3,0,0,'Données projet'!$E$11+1,1))</f>
        <v>165.98015798223548</v>
      </c>
      <c r="BJ85" s="62">
        <f t="shared" si="92"/>
        <v>143.97979034100706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250.79807999999991</v>
      </c>
      <c r="CA85" s="14">
        <f t="shared" si="93"/>
        <v>60.756805958939864</v>
      </c>
      <c r="CB85" s="22">
        <f t="shared" si="64"/>
        <v>542.62475971182016</v>
      </c>
      <c r="CC85" s="62">
        <f t="shared" si="65"/>
        <v>835.95809304515342</v>
      </c>
      <c r="CD85" s="62">
        <f ca="1">AVERAGE(OFFSET($CC$3,0,0,'Données projet'!$E$12+1,1))-AVERAGE(OFFSET($H$3,0,0,'Données projet'!$E$12+1,1))</f>
        <v>335.16942824912076</v>
      </c>
      <c r="CE85" s="62">
        <f t="shared" si="94"/>
        <v>190.00559730122677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152.63300189110146</v>
      </c>
      <c r="T86" s="62">
        <f t="shared" si="88"/>
        <v>236.66430374499453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4.7246605504142707</v>
      </c>
      <c r="AA86" s="23">
        <f>EXP(-LN(2)/25)*AA85+(1-EXP(-LN(2)/25))/(LN(2)/25)*Calculateur!V86*Calculateur!X86*VLOOKUP('Données projet'!$B$9,Paramètres!$A$1:$I$89,3,0)*0.475*44/12</f>
        <v>2.2524437193606004</v>
      </c>
      <c r="AB86" s="23">
        <f>EXP(-LN(2)/2)*AB85+(1-EXP(-LN(2)/2))/(LN(2)/2)*V86*Y86*VLOOKUP('Données projet'!$B$9,Paramètres!$A$1:$I$89,3,0)*0.475*44/12</f>
        <v>3.084109637760948E-8</v>
      </c>
      <c r="AC86" s="24">
        <f t="shared" si="57"/>
        <v>6.9771043006159683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7.0995999999999997</v>
      </c>
      <c r="AI86" s="14">
        <f>IF('Données projet'!$A$62&gt;35,AI85+AH86-AQ85,IF(A86&lt;'Données projet'!$A$62,$AF$205^A86,IF(A86='Données projet'!$A$62,'Données projet'!$B$62,AI85+AH86-AQ85)))</f>
        <v>373.30380000000014</v>
      </c>
      <c r="AJ86" s="14">
        <f>AI86*VLOOKUP('Données projet'!$B$10,Paramètres!$A$1:$I$89,3,0)*VLOOKUP('Données projet'!$B$10,Paramètres!$A$1:$I$89,5,0)</f>
        <v>407.64774960000017</v>
      </c>
      <c r="AK86" s="14">
        <f t="shared" si="89"/>
        <v>93.325415963901264</v>
      </c>
      <c r="AL86" s="22">
        <f t="shared" si="58"/>
        <v>872.52826335712825</v>
      </c>
      <c r="AM86" s="62">
        <f t="shared" si="59"/>
        <v>1165.8615966904615</v>
      </c>
      <c r="AN86" s="62">
        <f ca="1">AVERAGE(OFFSET($AM$3,0,0,'Données projet'!$E$10+1,1))-AVERAGE(OFFSET($H$3,0,0,'Données projet'!$E$10+1,1))</f>
        <v>886.54265074144564</v>
      </c>
      <c r="AO86" s="62">
        <f t="shared" si="90"/>
        <v>254.8922423500004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2.089999999999999</v>
      </c>
      <c r="BD86" s="13">
        <f>IF('Données projet'!$A$88&gt;35,BD85+BC86-BL85,IF(A86&lt;'Données projet'!$A$88,$BA$205^A86,IF(A86='Données projet'!$A$88,'Données projet'!$B$88,BD85+BC86-BL85)))</f>
        <v>124.36999999999993</v>
      </c>
      <c r="BE86" s="14">
        <f>BD86*VLOOKUP('Données projet'!$B$11,Paramètres!$A$1:$I$89,3,0)*VLOOKUP('Données projet'!$B$11,Paramètres!$A$1:$I$89,5,0)</f>
        <v>143.27423999999991</v>
      </c>
      <c r="BF86" s="14">
        <f t="shared" si="91"/>
        <v>37.046075704596291</v>
      </c>
      <c r="BG86" s="22">
        <f t="shared" si="61"/>
        <v>314.05788318550503</v>
      </c>
      <c r="BH86" s="62">
        <f t="shared" si="62"/>
        <v>607.39121651883829</v>
      </c>
      <c r="BI86" s="62">
        <f ca="1">AVERAGE(OFFSET($BH$3,0,0,'Données projet'!$E$11+1,1))-AVERAGE(OFFSET($H$3,0,0,'Données projet'!$E$11+1,1))</f>
        <v>165.98015798223548</v>
      </c>
      <c r="BJ86" s="62">
        <f t="shared" si="92"/>
        <v>143.97979034100706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256.38911999999993</v>
      </c>
      <c r="CA86" s="14">
        <f t="shared" si="93"/>
        <v>61.952058890761386</v>
      </c>
      <c r="CB86" s="22">
        <f t="shared" si="64"/>
        <v>554.44421990140927</v>
      </c>
      <c r="CC86" s="62">
        <f t="shared" si="65"/>
        <v>847.77755323474253</v>
      </c>
      <c r="CD86" s="62">
        <f ca="1">AVERAGE(OFFSET($CC$3,0,0,'Données projet'!$E$12+1,1))-AVERAGE(OFFSET($H$3,0,0,'Données projet'!$E$12+1,1))</f>
        <v>335.16942824912076</v>
      </c>
      <c r="CE86" s="62">
        <f t="shared" si="94"/>
        <v>190.00559730122677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152.63300189110146</v>
      </c>
      <c r="T87" s="62">
        <f t="shared" si="88"/>
        <v>236.66430374499453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4.6320128387790325</v>
      </c>
      <c r="AA87" s="23">
        <f>EXP(-LN(2)/25)*AA86+(1-EXP(-LN(2)/25))/(LN(2)/25)*Calculateur!V87*Calculateur!X87*VLOOKUP('Données projet'!$B$9,Paramètres!$A$1:$I$89,3,0)*0.475*44/12</f>
        <v>2.1908505274038177</v>
      </c>
      <c r="AB87" s="23">
        <f>EXP(-LN(2)/2)*AB86+(1-EXP(-LN(2)/2))/(LN(2)/2)*V87*Y87*VLOOKUP('Données projet'!$B$9,Paramètres!$A$1:$I$89,3,0)*0.475*44/12</f>
        <v>2.1807948387835531E-8</v>
      </c>
      <c r="AC87" s="24">
        <f t="shared" si="57"/>
        <v>6.8228633879907985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7.0995999999999997</v>
      </c>
      <c r="AI87" s="14">
        <f>IF('Données projet'!$A$62&gt;35,AI86+AH87-AQ86,IF(A87&lt;'Données projet'!$A$62,$AF$205^A87,IF(A87='Données projet'!$A$62,'Données projet'!$B$62,AI86+AH87-AQ86)))</f>
        <v>380.40340000000015</v>
      </c>
      <c r="AJ87" s="14">
        <f>AI87*VLOOKUP('Données projet'!$B$10,Paramètres!$A$1:$I$89,3,0)*VLOOKUP('Données projet'!$B$10,Paramètres!$A$1:$I$89,5,0)</f>
        <v>415.40051280000017</v>
      </c>
      <c r="AK87" s="14">
        <f t="shared" si="89"/>
        <v>94.891984905486638</v>
      </c>
      <c r="AL87" s="22">
        <f t="shared" si="58"/>
        <v>888.7594335037229</v>
      </c>
      <c r="AM87" s="62">
        <f t="shared" si="59"/>
        <v>1182.0927668370562</v>
      </c>
      <c r="AN87" s="62">
        <f ca="1">AVERAGE(OFFSET($AM$3,0,0,'Données projet'!$E$10+1,1))-AVERAGE(OFFSET($H$3,0,0,'Données projet'!$E$10+1,1))</f>
        <v>886.54265074144564</v>
      </c>
      <c r="AO87" s="62">
        <f t="shared" si="90"/>
        <v>254.8922423500004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2.089999999999999</v>
      </c>
      <c r="BD87" s="13">
        <f>IF('Données projet'!$A$88&gt;35,BD86+BC87-BL86,IF(A87&lt;'Données projet'!$A$88,$BA$205^A87,IF(A87='Données projet'!$A$88,'Données projet'!$B$88,BD86+BC87-BL86)))</f>
        <v>126.45999999999994</v>
      </c>
      <c r="BE87" s="14">
        <f>BD87*VLOOKUP('Données projet'!$B$11,Paramètres!$A$1:$I$89,3,0)*VLOOKUP('Données projet'!$B$11,Paramètres!$A$1:$I$89,5,0)</f>
        <v>145.68191999999991</v>
      </c>
      <c r="BF87" s="14">
        <f t="shared" si="91"/>
        <v>37.595624476908768</v>
      </c>
      <c r="BG87" s="22">
        <f t="shared" si="61"/>
        <v>319.20838996394923</v>
      </c>
      <c r="BH87" s="62">
        <f t="shared" si="62"/>
        <v>612.54172329728249</v>
      </c>
      <c r="BI87" s="62">
        <f ca="1">AVERAGE(OFFSET($BH$3,0,0,'Données projet'!$E$11+1,1))-AVERAGE(OFFSET($H$3,0,0,'Données projet'!$E$11+1,1))</f>
        <v>165.98015798223548</v>
      </c>
      <c r="BJ87" s="62">
        <f t="shared" si="92"/>
        <v>143.97979034100706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261.98015999999996</v>
      </c>
      <c r="CA87" s="14">
        <f t="shared" si="93"/>
        <v>63.144281484268511</v>
      </c>
      <c r="CB87" s="22">
        <f t="shared" si="64"/>
        <v>566.25840225176751</v>
      </c>
      <c r="CC87" s="62">
        <f t="shared" si="65"/>
        <v>859.59173558510088</v>
      </c>
      <c r="CD87" s="62">
        <f ca="1">AVERAGE(OFFSET($CC$3,0,0,'Données projet'!$E$12+1,1))-AVERAGE(OFFSET($H$3,0,0,'Données projet'!$E$12+1,1))</f>
        <v>335.16942824912076</v>
      </c>
      <c r="CE87" s="62">
        <f t="shared" si="94"/>
        <v>190.00559730122677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152.63300189110146</v>
      </c>
      <c r="T88" s="62">
        <f t="shared" si="88"/>
        <v>236.66430374499453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4.5411818922594369</v>
      </c>
      <c r="AA88" s="23">
        <f>EXP(-LN(2)/25)*AA87+(1-EXP(-LN(2)/25))/(LN(2)/25)*Calculateur!V88*Calculateur!X88*VLOOKUP('Données projet'!$B$9,Paramètres!$A$1:$I$89,3,0)*0.475*44/12</f>
        <v>2.1309416045201384</v>
      </c>
      <c r="AB88" s="23">
        <f>EXP(-LN(2)/2)*AB87+(1-EXP(-LN(2)/2))/(LN(2)/2)*V88*Y88*VLOOKUP('Données projet'!$B$9,Paramètres!$A$1:$I$89,3,0)*0.475*44/12</f>
        <v>1.542054818880474E-8</v>
      </c>
      <c r="AC88" s="24">
        <f t="shared" si="57"/>
        <v>6.6721235122001232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7.0995999999999997</v>
      </c>
      <c r="AI88" s="14">
        <f>IF('Données projet'!$A$62&gt;35,AI87+AH88-AQ87,IF(A88&lt;'Données projet'!$A$62,$AF$205^A88,IF(A88='Données projet'!$A$62,'Données projet'!$B$62,AI87+AH88-AQ87)))</f>
        <v>387.50300000000016</v>
      </c>
      <c r="AJ88" s="14">
        <f>AI88*VLOOKUP('Données projet'!$B$10,Paramètres!$A$1:$I$89,3,0)*VLOOKUP('Données projet'!$B$10,Paramètres!$A$1:$I$89,5,0)</f>
        <v>423.15327600000018</v>
      </c>
      <c r="AK88" s="14">
        <f t="shared" si="89"/>
        <v>96.455154097022728</v>
      </c>
      <c r="AL88" s="22">
        <f t="shared" si="58"/>
        <v>904.98468241898138</v>
      </c>
      <c r="AM88" s="62">
        <f t="shared" si="59"/>
        <v>1198.3180157523147</v>
      </c>
      <c r="AN88" s="62">
        <f ca="1">AVERAGE(OFFSET($AM$3,0,0,'Données projet'!$E$10+1,1))-AVERAGE(OFFSET($H$3,0,0,'Données projet'!$E$10+1,1))</f>
        <v>886.54265074144564</v>
      </c>
      <c r="AO88" s="62">
        <f t="shared" si="90"/>
        <v>254.8922423500004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2.089999999999999</v>
      </c>
      <c r="BD88" s="13">
        <f>IF('Données projet'!$A$88&gt;35,BD87+BC88-BL87,IF(A88&lt;'Données projet'!$A$88,$BA$205^A88,IF(A88='Données projet'!$A$88,'Données projet'!$B$88,BD87+BC88-BL87)))</f>
        <v>128.54999999999993</v>
      </c>
      <c r="BE88" s="14">
        <f>BD88*VLOOKUP('Données projet'!$B$11,Paramètres!$A$1:$I$89,3,0)*VLOOKUP('Données projet'!$B$11,Paramètres!$A$1:$I$89,5,0)</f>
        <v>148.0895999999999</v>
      </c>
      <c r="BF88" s="14">
        <f t="shared" si="91"/>
        <v>38.144117026352546</v>
      </c>
      <c r="BG88" s="22">
        <f t="shared" si="61"/>
        <v>324.35705715423052</v>
      </c>
      <c r="BH88" s="62">
        <f t="shared" si="62"/>
        <v>617.69039048756383</v>
      </c>
      <c r="BI88" s="62">
        <f ca="1">AVERAGE(OFFSET($BH$3,0,0,'Données projet'!$E$11+1,1))-AVERAGE(OFFSET($H$3,0,0,'Données projet'!$E$11+1,1))</f>
        <v>165.98015798223548</v>
      </c>
      <c r="BJ88" s="62">
        <f t="shared" si="92"/>
        <v>143.97979034100706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267.57119999999992</v>
      </c>
      <c r="CA88" s="14">
        <f t="shared" si="93"/>
        <v>64.333545860572514</v>
      </c>
      <c r="CB88" s="22">
        <f t="shared" si="64"/>
        <v>578.06743237383034</v>
      </c>
      <c r="CC88" s="62">
        <f t="shared" si="65"/>
        <v>871.4007657071636</v>
      </c>
      <c r="CD88" s="62">
        <f ca="1">AVERAGE(OFFSET($CC$3,0,0,'Données projet'!$E$12+1,1))-AVERAGE(OFFSET($H$3,0,0,'Données projet'!$E$12+1,1))</f>
        <v>335.16942824912076</v>
      </c>
      <c r="CE88" s="62">
        <f t="shared" si="94"/>
        <v>190.00559730122677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152.63300189110146</v>
      </c>
      <c r="T89" s="62">
        <f t="shared" si="88"/>
        <v>236.66430374499453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4.4521320851996835</v>
      </c>
      <c r="AA89" s="23">
        <f>EXP(-LN(2)/25)*AA88+(1-EXP(-LN(2)/25))/(LN(2)/25)*Calculateur!V89*Calculateur!X89*VLOOKUP('Données projet'!$B$9,Paramètres!$A$1:$I$89,3,0)*0.475*44/12</f>
        <v>2.0726708942831866</v>
      </c>
      <c r="AB89" s="23">
        <f>EXP(-LN(2)/2)*AB88+(1-EXP(-LN(2)/2))/(LN(2)/2)*V89*Y89*VLOOKUP('Données projet'!$B$9,Paramètres!$A$1:$I$89,3,0)*0.475*44/12</f>
        <v>1.0903974193917765E-8</v>
      </c>
      <c r="AC89" s="24">
        <f t="shared" si="57"/>
        <v>6.5248029903868447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7.0995999999999997</v>
      </c>
      <c r="AI89" s="14">
        <f>IF('Données projet'!$A$62&gt;35,AI88+AH89-AQ88,IF(A89&lt;'Données projet'!$A$62,$AF$205^A89,IF(A89='Données projet'!$A$62,'Données projet'!$B$62,AI88+AH89-AQ88)))</f>
        <v>394.60260000000017</v>
      </c>
      <c r="AJ89" s="14">
        <f>AI89*VLOOKUP('Données projet'!$B$10,Paramètres!$A$1:$I$89,3,0)*VLOOKUP('Données projet'!$B$10,Paramètres!$A$1:$I$89,5,0)</f>
        <v>430.90603920000018</v>
      </c>
      <c r="AK89" s="14">
        <f t="shared" si="89"/>
        <v>98.014993010800808</v>
      </c>
      <c r="AL89" s="22">
        <f t="shared" si="58"/>
        <v>921.20413110047832</v>
      </c>
      <c r="AM89" s="62">
        <f t="shared" si="59"/>
        <v>1214.5374644338117</v>
      </c>
      <c r="AN89" s="62">
        <f ca="1">AVERAGE(OFFSET($AM$3,0,0,'Données projet'!$E$10+1,1))-AVERAGE(OFFSET($H$3,0,0,'Données projet'!$E$10+1,1))</f>
        <v>886.54265074144564</v>
      </c>
      <c r="AO89" s="62">
        <f t="shared" si="90"/>
        <v>254.8922423500004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2.089999999999999</v>
      </c>
      <c r="BD89" s="13">
        <f>IF('Données projet'!$A$88&gt;35,BD88+BC89-BL88,IF(A89&lt;'Données projet'!$A$88,$BA$205^A89,IF(A89='Données projet'!$A$88,'Données projet'!$B$88,BD88+BC89-BL88)))</f>
        <v>130.63999999999993</v>
      </c>
      <c r="BE89" s="14">
        <f>BD89*VLOOKUP('Données projet'!$B$11,Paramètres!$A$1:$I$89,3,0)*VLOOKUP('Données projet'!$B$11,Paramètres!$A$1:$I$89,5,0)</f>
        <v>150.4972799999999</v>
      </c>
      <c r="BF89" s="14">
        <f t="shared" si="91"/>
        <v>38.691572507712131</v>
      </c>
      <c r="BG89" s="22">
        <f t="shared" si="61"/>
        <v>329.50391811759846</v>
      </c>
      <c r="BH89" s="62">
        <f t="shared" si="62"/>
        <v>622.83725145093172</v>
      </c>
      <c r="BI89" s="62">
        <f ca="1">AVERAGE(OFFSET($BH$3,0,0,'Données projet'!$E$11+1,1))-AVERAGE(OFFSET($H$3,0,0,'Données projet'!$E$11+1,1))</f>
        <v>165.98015798223548</v>
      </c>
      <c r="BJ89" s="62">
        <f t="shared" si="92"/>
        <v>143.97979034100706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273.16224</v>
      </c>
      <c r="CA89" s="14">
        <f t="shared" si="93"/>
        <v>65.519920954531997</v>
      </c>
      <c r="CB89" s="22">
        <f t="shared" si="64"/>
        <v>589.87143032914321</v>
      </c>
      <c r="CC89" s="62">
        <f t="shared" si="65"/>
        <v>883.20476366247658</v>
      </c>
      <c r="CD89" s="62">
        <f ca="1">AVERAGE(OFFSET($CC$3,0,0,'Données projet'!$E$12+1,1))-AVERAGE(OFFSET($H$3,0,0,'Données projet'!$E$12+1,1))</f>
        <v>335.16942824912076</v>
      </c>
      <c r="CE89" s="62">
        <f t="shared" si="94"/>
        <v>190.00559730122677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152.63300189110146</v>
      </c>
      <c r="T90" s="62">
        <f t="shared" si="88"/>
        <v>236.66430374499453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4.3648284905413535</v>
      </c>
      <c r="AA90" s="23">
        <f>EXP(-LN(2)/25)*AA89+(1-EXP(-LN(2)/25))/(LN(2)/25)*Calculateur!V90*Calculateur!X90*VLOOKUP('Données projet'!$B$9,Paramètres!$A$1:$I$89,3,0)*0.475*44/12</f>
        <v>2.0159935996819875</v>
      </c>
      <c r="AB90" s="23">
        <f>EXP(-LN(2)/2)*AB89+(1-EXP(-LN(2)/2))/(LN(2)/2)*V90*Y90*VLOOKUP('Données projet'!$B$9,Paramètres!$A$1:$I$89,3,0)*0.475*44/12</f>
        <v>7.7102740944023701E-9</v>
      </c>
      <c r="AC90" s="24">
        <f t="shared" si="57"/>
        <v>6.3808220979336152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7.0995999999999997</v>
      </c>
      <c r="AI90" s="14">
        <f>IF('Données projet'!$A$62&gt;35,AI89+AH90-AQ89,IF(A90&lt;'Données projet'!$A$62,$AF$205^A90,IF(A90='Données projet'!$A$62,'Données projet'!$B$62,AI89+AH90-AQ89)))</f>
        <v>401.70220000000018</v>
      </c>
      <c r="AJ90" s="14">
        <f>AI90*VLOOKUP('Données projet'!$B$10,Paramètres!$A$1:$I$89,3,0)*VLOOKUP('Données projet'!$B$10,Paramètres!$A$1:$I$89,5,0)</f>
        <v>438.65880240000013</v>
      </c>
      <c r="AK90" s="14">
        <f t="shared" si="89"/>
        <v>99.571568476102044</v>
      </c>
      <c r="AL90" s="22">
        <f t="shared" si="58"/>
        <v>937.41789594254453</v>
      </c>
      <c r="AM90" s="62">
        <f t="shared" si="59"/>
        <v>1230.7512292758779</v>
      </c>
      <c r="AN90" s="62">
        <f ca="1">AVERAGE(OFFSET($AM$3,0,0,'Données projet'!$E$10+1,1))-AVERAGE(OFFSET($H$3,0,0,'Données projet'!$E$10+1,1))</f>
        <v>886.54265074144564</v>
      </c>
      <c r="AO90" s="62">
        <f t="shared" si="90"/>
        <v>254.8922423500004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2.089999999999999</v>
      </c>
      <c r="BD90" s="13">
        <f>IF('Données projet'!$A$88&gt;35,BD89+BC90-BL89,IF(A90&lt;'Données projet'!$A$88,$BA$205^A90,IF(A90='Données projet'!$A$88,'Données projet'!$B$88,BD89+BC90-BL89)))</f>
        <v>132.72999999999993</v>
      </c>
      <c r="BE90" s="14">
        <f>BD90*VLOOKUP('Données projet'!$B$11,Paramètres!$A$1:$I$89,3,0)*VLOOKUP('Données projet'!$B$11,Paramètres!$A$1:$I$89,5,0)</f>
        <v>152.9049599999999</v>
      </c>
      <c r="BF90" s="14">
        <f t="shared" si="91"/>
        <v>39.238009427740444</v>
      </c>
      <c r="BG90" s="22">
        <f t="shared" si="61"/>
        <v>334.64900508664772</v>
      </c>
      <c r="BH90" s="62">
        <f t="shared" si="62"/>
        <v>627.98233841998103</v>
      </c>
      <c r="BI90" s="62">
        <f ca="1">AVERAGE(OFFSET($BH$3,0,0,'Données projet'!$E$11+1,1))-AVERAGE(OFFSET($H$3,0,0,'Données projet'!$E$11+1,1))</f>
        <v>165.98015798223548</v>
      </c>
      <c r="BJ90" s="62">
        <f t="shared" si="92"/>
        <v>143.97979034100706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278.75328000000002</v>
      </c>
      <c r="CA90" s="14">
        <f t="shared" si="93"/>
        <v>66.703472717805496</v>
      </c>
      <c r="CB90" s="22">
        <f t="shared" si="64"/>
        <v>601.67051098351124</v>
      </c>
      <c r="CC90" s="62">
        <f t="shared" si="65"/>
        <v>895.00384431684461</v>
      </c>
      <c r="CD90" s="62">
        <f ca="1">AVERAGE(OFFSET($CC$3,0,0,'Données projet'!$E$12+1,1))-AVERAGE(OFFSET($H$3,0,0,'Données projet'!$E$12+1,1))</f>
        <v>335.16942824912076</v>
      </c>
      <c r="CE90" s="62">
        <f t="shared" si="94"/>
        <v>190.00559730122677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152.63300189110146</v>
      </c>
      <c r="T91" s="62">
        <f t="shared" si="88"/>
        <v>236.66430374499453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4.2792368661243385</v>
      </c>
      <c r="AA91" s="23">
        <f>EXP(-LN(2)/25)*AA90+(1-EXP(-LN(2)/25))/(LN(2)/25)*Calculateur!V91*Calculateur!X91*VLOOKUP('Données projet'!$B$9,Paramètres!$A$1:$I$89,3,0)*0.475*44/12</f>
        <v>1.9608661486821879</v>
      </c>
      <c r="AB91" s="23">
        <f>EXP(-LN(2)/2)*AB90+(1-EXP(-LN(2)/2))/(LN(2)/2)*V91*Y91*VLOOKUP('Données projet'!$B$9,Paramètres!$A$1:$I$89,3,0)*0.475*44/12</f>
        <v>5.4519870969588827E-9</v>
      </c>
      <c r="AC91" s="24">
        <f t="shared" si="57"/>
        <v>6.2401030202585135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7.0995999999999997</v>
      </c>
      <c r="AI91" s="14">
        <f>IF('Données projet'!$A$62&gt;35,AI90+AH91-AQ90,IF(A91&lt;'Données projet'!$A$62,$AF$205^A91,IF(A91='Données projet'!$A$62,'Données projet'!$B$62,AI90+AH91-AQ90)))</f>
        <v>408.80180000000018</v>
      </c>
      <c r="AJ91" s="14">
        <f>AI91*VLOOKUP('Données projet'!$B$10,Paramètres!$A$1:$I$89,3,0)*VLOOKUP('Données projet'!$B$10,Paramètres!$A$1:$I$89,5,0)</f>
        <v>446.41156560000013</v>
      </c>
      <c r="AK91" s="14">
        <f t="shared" si="89"/>
        <v>101.12494482465165</v>
      </c>
      <c r="AL91" s="22">
        <f t="shared" si="58"/>
        <v>953.62608898960173</v>
      </c>
      <c r="AM91" s="62">
        <f t="shared" si="59"/>
        <v>1246.9594223229351</v>
      </c>
      <c r="AN91" s="62">
        <f ca="1">AVERAGE(OFFSET($AM$3,0,0,'Données projet'!$E$10+1,1))-AVERAGE(OFFSET($H$3,0,0,'Données projet'!$E$10+1,1))</f>
        <v>886.54265074144564</v>
      </c>
      <c r="AO91" s="62">
        <f t="shared" si="90"/>
        <v>254.8922423500004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2.089999999999999</v>
      </c>
      <c r="BD91" s="13">
        <f>IF('Données projet'!$A$88&gt;35,BD90+BC91-BL90,IF(A91&lt;'Données projet'!$A$88,$BA$205^A91,IF(A91='Données projet'!$A$88,'Données projet'!$B$88,BD90+BC91-BL90)))</f>
        <v>134.81999999999994</v>
      </c>
      <c r="BE91" s="14">
        <f>BD91*VLOOKUP('Données projet'!$B$11,Paramètres!$A$1:$I$89,3,0)*VLOOKUP('Données projet'!$B$11,Paramètres!$A$1:$I$89,5,0)</f>
        <v>155.31263999999993</v>
      </c>
      <c r="BF91" s="14">
        <f t="shared" si="91"/>
        <v>39.783445676934846</v>
      </c>
      <c r="BG91" s="22">
        <f t="shared" si="61"/>
        <v>339.79234922066138</v>
      </c>
      <c r="BH91" s="62">
        <f t="shared" si="62"/>
        <v>633.12568255399469</v>
      </c>
      <c r="BI91" s="62">
        <f ca="1">AVERAGE(OFFSET($BH$3,0,0,'Données projet'!$E$11+1,1))-AVERAGE(OFFSET($H$3,0,0,'Données projet'!$E$11+1,1))</f>
        <v>165.98015798223548</v>
      </c>
      <c r="BJ91" s="62">
        <f t="shared" si="92"/>
        <v>143.97979034100706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284.34432000000004</v>
      </c>
      <c r="CA91" s="14">
        <f t="shared" si="93"/>
        <v>67.884264305153849</v>
      </c>
      <c r="CB91" s="22">
        <f t="shared" si="64"/>
        <v>613.46478433147638</v>
      </c>
      <c r="CC91" s="62">
        <f t="shared" si="65"/>
        <v>906.79811766480975</v>
      </c>
      <c r="CD91" s="62">
        <f ca="1">AVERAGE(OFFSET($CC$3,0,0,'Données projet'!$E$12+1,1))-AVERAGE(OFFSET($H$3,0,0,'Données projet'!$E$12+1,1))</f>
        <v>335.16942824912076</v>
      </c>
      <c r="CE91" s="62">
        <f t="shared" si="94"/>
        <v>190.00559730122677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152.63300189110146</v>
      </c>
      <c r="T92" s="62">
        <f t="shared" si="88"/>
        <v>236.66430374499453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4.1953236412564046</v>
      </c>
      <c r="AA92" s="23">
        <f>EXP(-LN(2)/25)*AA91+(1-EXP(-LN(2)/25))/(LN(2)/25)*Calculateur!V92*Calculateur!X92*VLOOKUP('Données projet'!$B$9,Paramètres!$A$1:$I$89,3,0)*0.475*44/12</f>
        <v>1.9072461607290043</v>
      </c>
      <c r="AB92" s="23">
        <f>EXP(-LN(2)/2)*AB91+(1-EXP(-LN(2)/2))/(LN(2)/2)*V92*Y92*VLOOKUP('Données projet'!$B$9,Paramètres!$A$1:$I$89,3,0)*0.475*44/12</f>
        <v>3.8551370472011851E-9</v>
      </c>
      <c r="AC92" s="24">
        <f t="shared" si="57"/>
        <v>6.1025698058405453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7.0995999999999997</v>
      </c>
      <c r="AI92" s="14">
        <f>IF('Données projet'!$A$62&gt;35,AI91+AH92-AQ91,IF(A92&lt;'Données projet'!$A$62,$AF$205^A92,IF(A92='Données projet'!$A$62,'Données projet'!$B$62,AI91+AH92-AQ91)))</f>
        <v>415.90140000000019</v>
      </c>
      <c r="AJ92" s="14">
        <f>AI92*VLOOKUP('Données projet'!$B$10,Paramètres!$A$1:$I$89,3,0)*VLOOKUP('Données projet'!$B$10,Paramètres!$A$1:$I$89,5,0)</f>
        <v>454.16432880000025</v>
      </c>
      <c r="AK92" s="14">
        <f t="shared" si="89"/>
        <v>102.67518402568223</v>
      </c>
      <c r="AL92" s="22">
        <f t="shared" si="58"/>
        <v>969.82881817139696</v>
      </c>
      <c r="AM92" s="62">
        <f t="shared" si="59"/>
        <v>1263.1621515047302</v>
      </c>
      <c r="AN92" s="62">
        <f ca="1">AVERAGE(OFFSET($AM$3,0,0,'Données projet'!$E$10+1,1))-AVERAGE(OFFSET($H$3,0,0,'Données projet'!$E$10+1,1))</f>
        <v>886.54265074144564</v>
      </c>
      <c r="AO92" s="62">
        <f t="shared" si="90"/>
        <v>254.8922423500004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2.089999999999999</v>
      </c>
      <c r="BD92" s="13">
        <f>IF('Données projet'!$A$88&gt;35,BD91+BC92-BL91,IF(A92&lt;'Données projet'!$A$88,$BA$205^A92,IF(A92='Données projet'!$A$88,'Données projet'!$B$88,BD91+BC92-BL91)))</f>
        <v>136.90999999999994</v>
      </c>
      <c r="BE92" s="14">
        <f>BD92*VLOOKUP('Données projet'!$B$11,Paramètres!$A$1:$I$89,3,0)*VLOOKUP('Données projet'!$B$11,Paramètres!$A$1:$I$89,5,0)</f>
        <v>157.7203199999999</v>
      </c>
      <c r="BF92" s="14">
        <f t="shared" si="91"/>
        <v>40.327898559286901</v>
      </c>
      <c r="BG92" s="22">
        <f t="shared" si="61"/>
        <v>344.93398065742446</v>
      </c>
      <c r="BH92" s="62">
        <f t="shared" si="62"/>
        <v>638.26731399075777</v>
      </c>
      <c r="BI92" s="62">
        <f ca="1">AVERAGE(OFFSET($BH$3,0,0,'Données projet'!$E$11+1,1))-AVERAGE(OFFSET($H$3,0,0,'Données projet'!$E$11+1,1))</f>
        <v>165.98015798223548</v>
      </c>
      <c r="BJ92" s="62">
        <f t="shared" si="92"/>
        <v>143.97979034100706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289.93536000000006</v>
      </c>
      <c r="CA92" s="14">
        <f t="shared" si="93"/>
        <v>69.062356245675787</v>
      </c>
      <c r="CB92" s="22">
        <f t="shared" si="64"/>
        <v>625.25435579455211</v>
      </c>
      <c r="CC92" s="62">
        <f t="shared" si="65"/>
        <v>918.58768912788537</v>
      </c>
      <c r="CD92" s="62">
        <f ca="1">AVERAGE(OFFSET($CC$3,0,0,'Données projet'!$E$12+1,1))-AVERAGE(OFFSET($H$3,0,0,'Données projet'!$E$12+1,1))</f>
        <v>335.16942824912076</v>
      </c>
      <c r="CE92" s="62">
        <f t="shared" si="94"/>
        <v>190.00559730122677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152.63300189110146</v>
      </c>
      <c r="T93" s="62">
        <f t="shared" si="88"/>
        <v>236.66430374499453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4.1130559035461181</v>
      </c>
      <c r="AA93" s="23">
        <f>EXP(-LN(2)/25)*AA92+(1-EXP(-LN(2)/25))/(LN(2)/25)*Calculateur!V93*Calculateur!X93*VLOOKUP('Données projet'!$B$9,Paramètres!$A$1:$I$89,3,0)*0.475*44/12</f>
        <v>1.8550924141661531</v>
      </c>
      <c r="AB93" s="23">
        <f>EXP(-LN(2)/2)*AB92+(1-EXP(-LN(2)/2))/(LN(2)/2)*V93*Y93*VLOOKUP('Données projet'!$B$9,Paramètres!$A$1:$I$89,3,0)*0.475*44/12</f>
        <v>2.7259935484794413E-9</v>
      </c>
      <c r="AC93" s="24">
        <f t="shared" si="57"/>
        <v>5.9681483204382646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7.0995999999999997</v>
      </c>
      <c r="AI93" s="14">
        <f>IF('Données projet'!$A$62&gt;35,AI92+AH93-AQ92,IF(A93&lt;'Données projet'!$A$62,$AF$205^A93,IF(A93='Données projet'!$A$62,'Données projet'!$B$62,AI92+AH93-AQ92)))</f>
        <v>423.0010000000002</v>
      </c>
      <c r="AJ93" s="14">
        <f>AI93*VLOOKUP('Données projet'!$B$10,Paramètres!$A$1:$I$89,3,0)*VLOOKUP('Données projet'!$B$10,Paramètres!$A$1:$I$89,5,0)</f>
        <v>461.9170920000002</v>
      </c>
      <c r="AK93" s="14">
        <f t="shared" si="89"/>
        <v>104.22234581151378</v>
      </c>
      <c r="AL93" s="22">
        <f t="shared" si="58"/>
        <v>986.0261875217202</v>
      </c>
      <c r="AM93" s="62">
        <f t="shared" si="59"/>
        <v>1279.3595208550535</v>
      </c>
      <c r="AN93" s="62">
        <f ca="1">AVERAGE(OFFSET($AM$3,0,0,'Données projet'!$E$10+1,1))-AVERAGE(OFFSET($H$3,0,0,'Données projet'!$E$10+1,1))</f>
        <v>886.54265074144564</v>
      </c>
      <c r="AO93" s="62">
        <f t="shared" si="90"/>
        <v>254.8922423500004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139</v>
      </c>
      <c r="BB93" s="13">
        <f>VLOOKUP(A93,'Données projet'!$A$87:$I$107,9,0)</f>
        <v>2.089999999999999</v>
      </c>
      <c r="BC93" s="13">
        <f t="array" ref="BC93">INDEX(BB:BB,MIN(IF(ISNUMBER(BB93:BB289),ROW(BB93:BB289),"")))</f>
        <v>2.089999999999999</v>
      </c>
      <c r="BD93" s="13">
        <f>IF('Données projet'!$A$88&gt;35,BD92+BC93-BL92,IF(A93&lt;'Données projet'!$A$88,$BA$205^A93,IF(A93='Données projet'!$A$88,'Données projet'!$B$88,BD92+BC93-BL92)))</f>
        <v>138.99999999999994</v>
      </c>
      <c r="BE93" s="14">
        <f>BD93*VLOOKUP('Données projet'!$B$11,Paramètres!$A$1:$I$89,3,0)*VLOOKUP('Données projet'!$B$11,Paramètres!$A$1:$I$89,5,0)</f>
        <v>160.12799999999993</v>
      </c>
      <c r="BF93" s="14">
        <f t="shared" si="91"/>
        <v>40.871384820164067</v>
      </c>
      <c r="BG93" s="22">
        <f t="shared" si="61"/>
        <v>350.07392856178558</v>
      </c>
      <c r="BH93" s="62">
        <f t="shared" si="62"/>
        <v>643.40726189511884</v>
      </c>
      <c r="BI93" s="62">
        <f ca="1">AVERAGE(OFFSET($BH$3,0,0,'Données projet'!$E$11+1,1))-AVERAGE(OFFSET($H$3,0,0,'Données projet'!$E$11+1,1))</f>
        <v>165.98015798223548</v>
      </c>
      <c r="BJ93" s="62">
        <f t="shared" si="92"/>
        <v>143.97979034100706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295.52640000000002</v>
      </c>
      <c r="CA93" s="14">
        <f t="shared" si="93"/>
        <v>70.237806600460601</v>
      </c>
      <c r="CB93" s="22">
        <f t="shared" si="64"/>
        <v>637.03932649580224</v>
      </c>
      <c r="CC93" s="62">
        <f t="shared" si="65"/>
        <v>930.3726598291355</v>
      </c>
      <c r="CD93" s="62">
        <f ca="1">AVERAGE(OFFSET($CC$3,0,0,'Données projet'!$E$12+1,1))-AVERAGE(OFFSET($H$3,0,0,'Données projet'!$E$12+1,1))</f>
        <v>335.16942824912076</v>
      </c>
      <c r="CE93" s="62">
        <f t="shared" si="94"/>
        <v>190.00559730122677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152.63300189110146</v>
      </c>
      <c r="T94" s="62">
        <f t="shared" si="88"/>
        <v>236.66430374499453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4.0324013859939649</v>
      </c>
      <c r="AA94" s="23">
        <f>EXP(-LN(2)/25)*AA93+(1-EXP(-LN(2)/25))/(LN(2)/25)*Calculateur!V94*Calculateur!X94*VLOOKUP('Données projet'!$B$9,Paramètres!$A$1:$I$89,3,0)*0.475*44/12</f>
        <v>1.8043648145457094</v>
      </c>
      <c r="AB94" s="23">
        <f>EXP(-LN(2)/2)*AB93+(1-EXP(-LN(2)/2))/(LN(2)/2)*V94*Y94*VLOOKUP('Données projet'!$B$9,Paramètres!$A$1:$I$89,3,0)*0.475*44/12</f>
        <v>1.9275685236005925E-9</v>
      </c>
      <c r="AC94" s="24">
        <f t="shared" si="57"/>
        <v>5.8367662024672429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7.0995999999999997</v>
      </c>
      <c r="AI94" s="14">
        <f>IF('Données projet'!$A$62&gt;35,AI93+AH94-AQ93,IF(A94&lt;'Données projet'!$A$62,$AF$205^A94,IF(A94='Données projet'!$A$62,'Données projet'!$B$62,AI93+AH94-AQ93)))</f>
        <v>430.10060000000021</v>
      </c>
      <c r="AJ94" s="14">
        <f>AI94*VLOOKUP('Données projet'!$B$10,Paramètres!$A$1:$I$89,3,0)*VLOOKUP('Données projet'!$B$10,Paramètres!$A$1:$I$89,5,0)</f>
        <v>469.6698552000002</v>
      </c>
      <c r="AK94" s="14">
        <f t="shared" si="89"/>
        <v>105.7664877944631</v>
      </c>
      <c r="AL94" s="22">
        <f t="shared" si="58"/>
        <v>1002.2182973820235</v>
      </c>
      <c r="AM94" s="62">
        <f t="shared" si="59"/>
        <v>1295.5516307153569</v>
      </c>
      <c r="AN94" s="62">
        <f ca="1">AVERAGE(OFFSET($AM$3,0,0,'Données projet'!$E$10+1,1))-AVERAGE(OFFSET($H$3,0,0,'Données projet'!$E$10+1,1))</f>
        <v>886.54265074144564</v>
      </c>
      <c r="AO94" s="62">
        <f t="shared" si="90"/>
        <v>254.8922423500004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1.9400000000000006</v>
      </c>
      <c r="BD94" s="13">
        <f>IF('Données projet'!$A$88&gt;35,BD93+BC94-BL93,IF(A94&lt;'Données projet'!$A$88,$BA$205^A94,IF(A94='Données projet'!$A$88,'Données projet'!$B$88,BD93+BC94-BL93)))</f>
        <v>126.93999999999994</v>
      </c>
      <c r="BE94" s="14">
        <f>BD94*VLOOKUP('Données projet'!$B$11,Paramètres!$A$1:$I$89,3,0)*VLOOKUP('Données projet'!$B$11,Paramètres!$A$1:$I$89,5,0)</f>
        <v>146.23487999999992</v>
      </c>
      <c r="BF94" s="14">
        <f t="shared" si="91"/>
        <v>37.721686785385224</v>
      </c>
      <c r="BG94" s="22">
        <f t="shared" si="61"/>
        <v>320.39102048454578</v>
      </c>
      <c r="BH94" s="62">
        <f t="shared" si="62"/>
        <v>613.72435381787909</v>
      </c>
      <c r="BI94" s="62">
        <f ca="1">AVERAGE(OFFSET($BH$3,0,0,'Données projet'!$E$11+1,1))-AVERAGE(OFFSET($H$3,0,0,'Données projet'!$E$11+1,1))</f>
        <v>165.98015798223548</v>
      </c>
      <c r="BJ94" s="62">
        <f t="shared" si="92"/>
        <v>143.97979034100706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258.48576000000003</v>
      </c>
      <c r="CA94" s="14">
        <f t="shared" si="93"/>
        <v>62.39949353543058</v>
      </c>
      <c r="CB94" s="22">
        <f t="shared" si="64"/>
        <v>558.87514990754164</v>
      </c>
      <c r="CC94" s="62">
        <f t="shared" si="65"/>
        <v>852.20848324087501</v>
      </c>
      <c r="CD94" s="62">
        <f ca="1">AVERAGE(OFFSET($CC$3,0,0,'Données projet'!$E$12+1,1))-AVERAGE(OFFSET($H$3,0,0,'Données projet'!$E$12+1,1))</f>
        <v>335.16942824912076</v>
      </c>
      <c r="CE94" s="62">
        <f t="shared" si="94"/>
        <v>190.00559730122677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152.63300189110146</v>
      </c>
      <c r="T95" s="62">
        <f t="shared" si="88"/>
        <v>236.66430374499453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3.953328454336611</v>
      </c>
      <c r="AA95" s="23">
        <f>EXP(-LN(2)/25)*AA94+(1-EXP(-LN(2)/25))/(LN(2)/25)*Calculateur!V95*Calculateur!X95*VLOOKUP('Données projet'!$B$9,Paramètres!$A$1:$I$89,3,0)*0.475*44/12</f>
        <v>1.7550243638045353</v>
      </c>
      <c r="AB95" s="23">
        <f>EXP(-LN(2)/2)*AB94+(1-EXP(-LN(2)/2))/(LN(2)/2)*V95*Y95*VLOOKUP('Données projet'!$B$9,Paramètres!$A$1:$I$89,3,0)*0.475*44/12</f>
        <v>1.3629967742397207E-9</v>
      </c>
      <c r="AC95" s="24">
        <f t="shared" si="57"/>
        <v>5.7083528195041433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7.0995999999999997</v>
      </c>
      <c r="AI95" s="14">
        <f>IF('Données projet'!$A$62&gt;35,AI94+AH95-AQ94,IF(A95&lt;'Données projet'!$A$62,$AF$205^A95,IF(A95='Données projet'!$A$62,'Données projet'!$B$62,AI94+AH95-AQ94)))</f>
        <v>437.20020000000022</v>
      </c>
      <c r="AJ95" s="14">
        <f>AI95*VLOOKUP('Données projet'!$B$10,Paramètres!$A$1:$I$89,3,0)*VLOOKUP('Données projet'!$B$10,Paramètres!$A$1:$I$89,5,0)</f>
        <v>477.4226184000002</v>
      </c>
      <c r="AK95" s="14">
        <f t="shared" si="89"/>
        <v>107.30766557581646</v>
      </c>
      <c r="AL95" s="22">
        <f t="shared" si="58"/>
        <v>1018.405244591214</v>
      </c>
      <c r="AM95" s="62">
        <f t="shared" si="59"/>
        <v>1311.7385779245474</v>
      </c>
      <c r="AN95" s="62">
        <f ca="1">AVERAGE(OFFSET($AM$3,0,0,'Données projet'!$E$10+1,1))-AVERAGE(OFFSET($H$3,0,0,'Données projet'!$E$10+1,1))</f>
        <v>886.54265074144564</v>
      </c>
      <c r="AO95" s="62">
        <f t="shared" si="90"/>
        <v>254.8922423500004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1.9400000000000006</v>
      </c>
      <c r="BD95" s="13">
        <f>IF('Données projet'!$A$88&gt;35,BD94+BC95-BL94,IF(A95&lt;'Données projet'!$A$88,$BA$205^A95,IF(A95='Données projet'!$A$88,'Données projet'!$B$88,BD94+BC95-BL94)))</f>
        <v>128.87999999999994</v>
      </c>
      <c r="BE95" s="14">
        <f>BD95*VLOOKUP('Données projet'!$B$11,Paramètres!$A$1:$I$89,3,0)*VLOOKUP('Données projet'!$B$11,Paramètres!$A$1:$I$89,5,0)</f>
        <v>148.46975999999992</v>
      </c>
      <c r="BF95" s="14">
        <f t="shared" si="91"/>
        <v>38.230625829500589</v>
      </c>
      <c r="BG95" s="22">
        <f t="shared" si="61"/>
        <v>325.16983865304672</v>
      </c>
      <c r="BH95" s="62">
        <f t="shared" si="62"/>
        <v>618.50317198638004</v>
      </c>
      <c r="BI95" s="62">
        <f ca="1">AVERAGE(OFFSET($BH$3,0,0,'Données projet'!$E$11+1,1))-AVERAGE(OFFSET($H$3,0,0,'Données projet'!$E$11+1,1))</f>
        <v>165.98015798223548</v>
      </c>
      <c r="BJ95" s="62">
        <f t="shared" si="92"/>
        <v>143.97979034100706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263.37792000000002</v>
      </c>
      <c r="CA95" s="14">
        <f t="shared" si="93"/>
        <v>63.441872165610889</v>
      </c>
      <c r="CB95" s="22">
        <f t="shared" si="64"/>
        <v>569.2111380217724</v>
      </c>
      <c r="CC95" s="62">
        <f t="shared" si="65"/>
        <v>862.54447135510577</v>
      </c>
      <c r="CD95" s="62">
        <f ca="1">AVERAGE(OFFSET($CC$3,0,0,'Données projet'!$E$12+1,1))-AVERAGE(OFFSET($H$3,0,0,'Données projet'!$E$12+1,1))</f>
        <v>335.16942824912076</v>
      </c>
      <c r="CE95" s="62">
        <f t="shared" si="94"/>
        <v>190.00559730122677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152.63300189110146</v>
      </c>
      <c r="T96" s="62">
        <f t="shared" si="88"/>
        <v>236.66430374499453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3.8758060946393318</v>
      </c>
      <c r="AA96" s="23">
        <f>EXP(-LN(2)/25)*AA95+(1-EXP(-LN(2)/25))/(LN(2)/25)*Calculateur!V96*Calculateur!X96*VLOOKUP('Données projet'!$B$9,Paramètres!$A$1:$I$89,3,0)*0.475*44/12</f>
        <v>1.7070331302835802</v>
      </c>
      <c r="AB96" s="23">
        <f>EXP(-LN(2)/2)*AB95+(1-EXP(-LN(2)/2))/(LN(2)/2)*V96*Y96*VLOOKUP('Données projet'!$B$9,Paramètres!$A$1:$I$89,3,0)*0.475*44/12</f>
        <v>9.6378426180029626E-10</v>
      </c>
      <c r="AC96" s="24">
        <f t="shared" si="57"/>
        <v>5.5828392258866968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7.0995999999999997</v>
      </c>
      <c r="AI96" s="14">
        <f>IF('Données projet'!$A$62&gt;35,AI95+AH96-AQ95,IF(A96&lt;'Données projet'!$A$62,$AF$205^A96,IF(A96='Données projet'!$A$62,'Données projet'!$B$62,AI95+AH96-AQ95)))</f>
        <v>444.29980000000023</v>
      </c>
      <c r="AJ96" s="14">
        <f>AI96*VLOOKUP('Données projet'!$B$10,Paramètres!$A$1:$I$89,3,0)*VLOOKUP('Données projet'!$B$10,Paramètres!$A$1:$I$89,5,0)</f>
        <v>485.17538160000021</v>
      </c>
      <c r="AK96" s="14">
        <f t="shared" si="89"/>
        <v>108.8459328475225</v>
      </c>
      <c r="AL96" s="22">
        <f t="shared" si="58"/>
        <v>1034.5871226627687</v>
      </c>
      <c r="AM96" s="62">
        <f t="shared" si="59"/>
        <v>1327.920455996102</v>
      </c>
      <c r="AN96" s="62">
        <f ca="1">AVERAGE(OFFSET($AM$3,0,0,'Données projet'!$E$10+1,1))-AVERAGE(OFFSET($H$3,0,0,'Données projet'!$E$10+1,1))</f>
        <v>886.54265074144564</v>
      </c>
      <c r="AO96" s="62">
        <f t="shared" si="90"/>
        <v>254.8922423500004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1.9400000000000006</v>
      </c>
      <c r="BD96" s="13">
        <f>IF('Données projet'!$A$88&gt;35,BD95+BC96-BL95,IF(A96&lt;'Données projet'!$A$88,$BA$205^A96,IF(A96='Données projet'!$A$88,'Données projet'!$B$88,BD95+BC96-BL95)))</f>
        <v>130.81999999999994</v>
      </c>
      <c r="BE96" s="14">
        <f>BD96*VLOOKUP('Données projet'!$B$11,Paramètres!$A$1:$I$89,3,0)*VLOOKUP('Données projet'!$B$11,Paramètres!$A$1:$I$89,5,0)</f>
        <v>150.70463999999993</v>
      </c>
      <c r="BF96" s="14">
        <f t="shared" si="91"/>
        <v>38.738673885570812</v>
      </c>
      <c r="BG96" s="22">
        <f t="shared" si="61"/>
        <v>329.94710501736904</v>
      </c>
      <c r="BH96" s="62">
        <f t="shared" si="62"/>
        <v>623.2804383507023</v>
      </c>
      <c r="BI96" s="62">
        <f ca="1">AVERAGE(OFFSET($BH$3,0,0,'Données projet'!$E$11+1,1))-AVERAGE(OFFSET($H$3,0,0,'Données projet'!$E$11+1,1))</f>
        <v>165.98015798223548</v>
      </c>
      <c r="BJ96" s="62">
        <f t="shared" si="92"/>
        <v>143.97979034100706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268.27008000000001</v>
      </c>
      <c r="CA96" s="14">
        <f t="shared" si="93"/>
        <v>64.481999374536201</v>
      </c>
      <c r="CB96" s="22">
        <f t="shared" si="64"/>
        <v>579.54320491065062</v>
      </c>
      <c r="CC96" s="62">
        <f t="shared" si="65"/>
        <v>872.87653824398399</v>
      </c>
      <c r="CD96" s="62">
        <f ca="1">AVERAGE(OFFSET($CC$3,0,0,'Données projet'!$E$12+1,1))-AVERAGE(OFFSET($H$3,0,0,'Données projet'!$E$12+1,1))</f>
        <v>335.16942824912076</v>
      </c>
      <c r="CE96" s="62">
        <f t="shared" si="94"/>
        <v>190.00559730122677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152.63300189110146</v>
      </c>
      <c r="T97" s="62">
        <f t="shared" si="88"/>
        <v>236.66430374499453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3.7998039011317459</v>
      </c>
      <c r="AA97" s="23">
        <f>EXP(-LN(2)/25)*AA96+(1-EXP(-LN(2)/25))/(LN(2)/25)*Calculateur!V97*Calculateur!X97*VLOOKUP('Données projet'!$B$9,Paramètres!$A$1:$I$89,3,0)*0.475*44/12</f>
        <v>1.6603542195670049</v>
      </c>
      <c r="AB97" s="23">
        <f>EXP(-LN(2)/2)*AB96+(1-EXP(-LN(2)/2))/(LN(2)/2)*V97*Y97*VLOOKUP('Données projet'!$B$9,Paramètres!$A$1:$I$89,3,0)*0.475*44/12</f>
        <v>6.8149838711986034E-10</v>
      </c>
      <c r="AC97" s="24">
        <f t="shared" si="57"/>
        <v>5.4601581213802488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7.0995999999999997</v>
      </c>
      <c r="AI97" s="14">
        <f>IF('Données projet'!$A$62&gt;35,AI96+AH97-AQ96,IF(A97&lt;'Données projet'!$A$62,$AF$205^A97,IF(A97='Données projet'!$A$62,'Données projet'!$B$62,AI96+AH97-AQ96)))</f>
        <v>451.39940000000024</v>
      </c>
      <c r="AJ97" s="14">
        <f>AI97*VLOOKUP('Données projet'!$B$10,Paramètres!$A$1:$I$89,3,0)*VLOOKUP('Données projet'!$B$10,Paramètres!$A$1:$I$89,5,0)</f>
        <v>492.92814480000027</v>
      </c>
      <c r="AK97" s="14">
        <f t="shared" si="89"/>
        <v>110.38134148720037</v>
      </c>
      <c r="AL97" s="22">
        <f t="shared" si="58"/>
        <v>1050.764021950208</v>
      </c>
      <c r="AM97" s="62">
        <f t="shared" si="59"/>
        <v>1344.0973552835412</v>
      </c>
      <c r="AN97" s="62">
        <f ca="1">AVERAGE(OFFSET($AM$3,0,0,'Données projet'!$E$10+1,1))-AVERAGE(OFFSET($H$3,0,0,'Données projet'!$E$10+1,1))</f>
        <v>886.54265074144564</v>
      </c>
      <c r="AO97" s="62">
        <f t="shared" si="90"/>
        <v>254.8922423500004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1.9400000000000006</v>
      </c>
      <c r="BD97" s="13">
        <f>IF('Données projet'!$A$88&gt;35,BD96+BC97-BL96,IF(A97&lt;'Données projet'!$A$88,$BA$205^A97,IF(A97='Données projet'!$A$88,'Données projet'!$B$88,BD96+BC97-BL96)))</f>
        <v>132.75999999999993</v>
      </c>
      <c r="BE97" s="14">
        <f>BD97*VLOOKUP('Données projet'!$B$11,Paramètres!$A$1:$I$89,3,0)*VLOOKUP('Données projet'!$B$11,Paramètres!$A$1:$I$89,5,0)</f>
        <v>152.9395199999999</v>
      </c>
      <c r="BF97" s="14">
        <f t="shared" si="91"/>
        <v>39.245845692885943</v>
      </c>
      <c r="BG97" s="22">
        <f t="shared" si="61"/>
        <v>334.72284524844281</v>
      </c>
      <c r="BH97" s="62">
        <f t="shared" si="62"/>
        <v>628.05617858177607</v>
      </c>
      <c r="BI97" s="62">
        <f ca="1">AVERAGE(OFFSET($BH$3,0,0,'Données projet'!$E$11+1,1))-AVERAGE(OFFSET($H$3,0,0,'Données projet'!$E$11+1,1))</f>
        <v>165.98015798223548</v>
      </c>
      <c r="BJ97" s="62">
        <f t="shared" si="92"/>
        <v>143.97979034100706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273.16224</v>
      </c>
      <c r="CA97" s="14">
        <f t="shared" si="93"/>
        <v>65.519920954531997</v>
      </c>
      <c r="CB97" s="22">
        <f t="shared" si="64"/>
        <v>589.87143032914321</v>
      </c>
      <c r="CC97" s="62">
        <f t="shared" si="65"/>
        <v>883.20476366247658</v>
      </c>
      <c r="CD97" s="62">
        <f ca="1">AVERAGE(OFFSET($CC$3,0,0,'Données projet'!$E$12+1,1))-AVERAGE(OFFSET($H$3,0,0,'Données projet'!$E$12+1,1))</f>
        <v>335.16942824912076</v>
      </c>
      <c r="CE97" s="62">
        <f t="shared" si="94"/>
        <v>190.00559730122677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152.63300189110146</v>
      </c>
      <c r="T98" s="62">
        <f t="shared" si="88"/>
        <v>236.66430374499453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3.7252920642820828</v>
      </c>
      <c r="AA98" s="23">
        <f>EXP(-LN(2)/25)*AA97+(1-EXP(-LN(2)/25))/(LN(2)/25)*Calculateur!V98*Calculateur!X98*VLOOKUP('Données projet'!$B$9,Paramètres!$A$1:$I$89,3,0)*0.475*44/12</f>
        <v>1.6149517461187115</v>
      </c>
      <c r="AB98" s="23">
        <f>EXP(-LN(2)/2)*AB97+(1-EXP(-LN(2)/2))/(LN(2)/2)*V98*Y98*VLOOKUP('Données projet'!$B$9,Paramètres!$A$1:$I$89,3,0)*0.475*44/12</f>
        <v>4.8189213090014813E-10</v>
      </c>
      <c r="AC98" s="24">
        <f t="shared" si="57"/>
        <v>5.3402438108826864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7.0995999999999997</v>
      </c>
      <c r="AI98" s="14">
        <f>IF('Données projet'!$A$62&gt;35,AI97+AH98-AQ97,IF(A98&lt;'Données projet'!$A$62,$AF$205^A98,IF(A98='Données projet'!$A$62,'Données projet'!$B$62,AI97+AH98-AQ97)))</f>
        <v>458.49900000000025</v>
      </c>
      <c r="AJ98" s="14">
        <f>AI98*VLOOKUP('Données projet'!$B$10,Paramètres!$A$1:$I$89,3,0)*VLOOKUP('Données projet'!$B$10,Paramètres!$A$1:$I$89,5,0)</f>
        <v>500.68090800000027</v>
      </c>
      <c r="AK98" s="14">
        <f t="shared" si="89"/>
        <v>111.91394164700218</v>
      </c>
      <c r="AL98" s="22">
        <f t="shared" si="58"/>
        <v>1066.9360298018626</v>
      </c>
      <c r="AM98" s="62">
        <f t="shared" si="59"/>
        <v>1360.2693631351958</v>
      </c>
      <c r="AN98" s="62">
        <f ca="1">AVERAGE(OFFSET($AM$3,0,0,'Données projet'!$E$10+1,1))-AVERAGE(OFFSET($H$3,0,0,'Données projet'!$E$10+1,1))</f>
        <v>886.54265074144564</v>
      </c>
      <c r="AO98" s="62">
        <f t="shared" si="90"/>
        <v>254.8922423500004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1.9400000000000006</v>
      </c>
      <c r="BD98" s="13">
        <f>IF('Données projet'!$A$88&gt;35,BD97+BC98-BL97,IF(A98&lt;'Données projet'!$A$88,$BA$205^A98,IF(A98='Données projet'!$A$88,'Données projet'!$B$88,BD97+BC98-BL97)))</f>
        <v>134.69999999999993</v>
      </c>
      <c r="BE98" s="14">
        <f>BD98*VLOOKUP('Données projet'!$B$11,Paramètres!$A$1:$I$89,3,0)*VLOOKUP('Données projet'!$B$11,Paramètres!$A$1:$I$89,5,0)</f>
        <v>155.17439999999991</v>
      </c>
      <c r="BF98" s="14">
        <f t="shared" si="91"/>
        <v>39.752155535238813</v>
      </c>
      <c r="BG98" s="22">
        <f t="shared" si="61"/>
        <v>339.49708422387408</v>
      </c>
      <c r="BH98" s="62">
        <f t="shared" si="62"/>
        <v>632.8304175572074</v>
      </c>
      <c r="BI98" s="62">
        <f ca="1">AVERAGE(OFFSET($BH$3,0,0,'Données projet'!$E$11+1,1))-AVERAGE(OFFSET($H$3,0,0,'Données projet'!$E$11+1,1))</f>
        <v>165.98015798223548</v>
      </c>
      <c r="BJ98" s="62">
        <f t="shared" si="92"/>
        <v>143.97979034100706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278.05439999999999</v>
      </c>
      <c r="CA98" s="14">
        <f t="shared" si="93"/>
        <v>66.555680963770769</v>
      </c>
      <c r="CB98" s="22">
        <f t="shared" si="64"/>
        <v>600.1958910119007</v>
      </c>
      <c r="CC98" s="62">
        <f t="shared" si="65"/>
        <v>893.52922434523407</v>
      </c>
      <c r="CD98" s="62">
        <f ca="1">AVERAGE(OFFSET($CC$3,0,0,'Données projet'!$E$12+1,1))-AVERAGE(OFFSET($H$3,0,0,'Données projet'!$E$12+1,1))</f>
        <v>335.16942824912076</v>
      </c>
      <c r="CE98" s="62">
        <f t="shared" si="94"/>
        <v>190.00559730122677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152.63300189110146</v>
      </c>
      <c r="T99" s="62">
        <f t="shared" si="88"/>
        <v>236.66430374499453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3.6522413591053091</v>
      </c>
      <c r="AA99" s="23">
        <f>EXP(-LN(2)/25)*AA98+(1-EXP(-LN(2)/25))/(LN(2)/25)*Calculateur!V99*Calculateur!X99*VLOOKUP('Données projet'!$B$9,Paramètres!$A$1:$I$89,3,0)*0.475*44/12</f>
        <v>1.5707908056944739</v>
      </c>
      <c r="AB99" s="23">
        <f>EXP(-LN(2)/2)*AB98+(1-EXP(-LN(2)/2))/(LN(2)/2)*V99*Y99*VLOOKUP('Données projet'!$B$9,Paramètres!$A$1:$I$89,3,0)*0.475*44/12</f>
        <v>3.4074919355993017E-10</v>
      </c>
      <c r="AC99" s="24">
        <f t="shared" si="57"/>
        <v>5.2230321651405314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7.0995999999999997</v>
      </c>
      <c r="AI99" s="14">
        <f>IF('Données projet'!$A$62&gt;35,AI98+AH99-AQ98,IF(A99&lt;'Données projet'!$A$62,$AF$205^A99,IF(A99='Données projet'!$A$62,'Données projet'!$B$62,AI98+AH99-AQ98)))</f>
        <v>465.59860000000026</v>
      </c>
      <c r="AJ99" s="14">
        <f>AI99*VLOOKUP('Données projet'!$B$10,Paramètres!$A$1:$I$89,3,0)*VLOOKUP('Données projet'!$B$10,Paramètres!$A$1:$I$89,5,0)</f>
        <v>508.43367120000028</v>
      </c>
      <c r="AK99" s="14">
        <f t="shared" si="89"/>
        <v>113.44378183681491</v>
      </c>
      <c r="AL99" s="22">
        <f t="shared" si="58"/>
        <v>1083.1032307057865</v>
      </c>
      <c r="AM99" s="62">
        <f t="shared" si="59"/>
        <v>1376.4365640391197</v>
      </c>
      <c r="AN99" s="62">
        <f ca="1">AVERAGE(OFFSET($AM$3,0,0,'Données projet'!$E$10+1,1))-AVERAGE(OFFSET($H$3,0,0,'Données projet'!$E$10+1,1))</f>
        <v>886.54265074144564</v>
      </c>
      <c r="AO99" s="62">
        <f t="shared" si="90"/>
        <v>254.8922423500004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1.9400000000000006</v>
      </c>
      <c r="BD99" s="13">
        <f>IF('Données projet'!$A$88&gt;35,BD98+BC99-BL98,IF(A99&lt;'Données projet'!$A$88,$BA$205^A99,IF(A99='Données projet'!$A$88,'Données projet'!$B$88,BD98+BC99-BL98)))</f>
        <v>136.63999999999993</v>
      </c>
      <c r="BE99" s="14">
        <f>BD99*VLOOKUP('Données projet'!$B$11,Paramètres!$A$1:$I$89,3,0)*VLOOKUP('Données projet'!$B$11,Paramètres!$A$1:$I$89,5,0)</f>
        <v>157.40927999999991</v>
      </c>
      <c r="BF99" s="14">
        <f t="shared" si="91"/>
        <v>40.257617261355257</v>
      </c>
      <c r="BG99" s="22">
        <f t="shared" si="61"/>
        <v>344.26984606352681</v>
      </c>
      <c r="BH99" s="62">
        <f t="shared" si="62"/>
        <v>637.60317939686013</v>
      </c>
      <c r="BI99" s="62">
        <f ca="1">AVERAGE(OFFSET($BH$3,0,0,'Données projet'!$E$11+1,1))-AVERAGE(OFFSET($H$3,0,0,'Données projet'!$E$11+1,1))</f>
        <v>165.98015798223548</v>
      </c>
      <c r="BJ99" s="62">
        <f t="shared" si="92"/>
        <v>143.97979034100706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282.94655999999992</v>
      </c>
      <c r="CA99" s="14">
        <f t="shared" si="93"/>
        <v>67.589321821279583</v>
      </c>
      <c r="CB99" s="22">
        <f t="shared" si="64"/>
        <v>610.5166608387284</v>
      </c>
      <c r="CC99" s="62">
        <f t="shared" si="65"/>
        <v>903.84999417206177</v>
      </c>
      <c r="CD99" s="62">
        <f ca="1">AVERAGE(OFFSET($CC$3,0,0,'Données projet'!$E$12+1,1))-AVERAGE(OFFSET($H$3,0,0,'Données projet'!$E$12+1,1))</f>
        <v>335.16942824912076</v>
      </c>
      <c r="CE99" s="62">
        <f t="shared" si="94"/>
        <v>190.00559730122677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152.63300189110146</v>
      </c>
      <c r="T100" s="62">
        <f t="shared" si="88"/>
        <v>236.66430374499453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3.580623133700521</v>
      </c>
      <c r="AA100" s="23">
        <f>EXP(-LN(2)/25)*AA99+(1-EXP(-LN(2)/25))/(LN(2)/25)*Calculateur!V100*Calculateur!X100*VLOOKUP('Données projet'!$B$9,Paramètres!$A$1:$I$89,3,0)*0.475*44/12</f>
        <v>1.5278374485084603</v>
      </c>
      <c r="AB100" s="23">
        <f>EXP(-LN(2)/2)*AB99+(1-EXP(-LN(2)/2))/(LN(2)/2)*V100*Y100*VLOOKUP('Données projet'!$B$9,Paramètres!$A$1:$I$89,3,0)*0.475*44/12</f>
        <v>2.4094606545007407E-10</v>
      </c>
      <c r="AC100" s="24">
        <f t="shared" si="57"/>
        <v>5.1084605824499274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7.0995999999999997</v>
      </c>
      <c r="AI100" s="14">
        <f>IF('Données projet'!$A$62&gt;35,AI99+AH100-AQ99,IF(A100&lt;'Données projet'!$A$62,$AF$205^A100,IF(A100='Données projet'!$A$62,'Données projet'!$B$62,AI99+AH100-AQ99)))</f>
        <v>472.69820000000027</v>
      </c>
      <c r="AJ100" s="14">
        <f>AI100*VLOOKUP('Données projet'!$B$10,Paramètres!$A$1:$I$89,3,0)*VLOOKUP('Données projet'!$B$10,Paramètres!$A$1:$I$89,5,0)</f>
        <v>516.18643440000028</v>
      </c>
      <c r="AK100" s="14">
        <f t="shared" si="89"/>
        <v>114.97090900224286</v>
      </c>
      <c r="AL100" s="22">
        <f t="shared" si="58"/>
        <v>1099.2657064255734</v>
      </c>
      <c r="AM100" s="62">
        <f t="shared" si="59"/>
        <v>1392.5990397589067</v>
      </c>
      <c r="AN100" s="62">
        <f ca="1">AVERAGE(OFFSET($AM$3,0,0,'Données projet'!$E$10+1,1))-AVERAGE(OFFSET($H$3,0,0,'Données projet'!$E$10+1,1))</f>
        <v>886.54265074144564</v>
      </c>
      <c r="AO100" s="62">
        <f t="shared" si="90"/>
        <v>254.8922423500004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1.9400000000000006</v>
      </c>
      <c r="BD100" s="13">
        <f>IF('Données projet'!$A$88&gt;35,BD99+BC100-BL99,IF(A100&lt;'Données projet'!$A$88,$BA$205^A100,IF(A100='Données projet'!$A$88,'Données projet'!$B$88,BD99+BC100-BL99)))</f>
        <v>138.57999999999993</v>
      </c>
      <c r="BE100" s="14">
        <f>BD100*VLOOKUP('Données projet'!$B$11,Paramètres!$A$1:$I$89,3,0)*VLOOKUP('Données projet'!$B$11,Paramètres!$A$1:$I$89,5,0)</f>
        <v>159.64415999999989</v>
      </c>
      <c r="BF100" s="14">
        <f t="shared" si="91"/>
        <v>40.762244304130796</v>
      </c>
      <c r="BG100" s="22">
        <f t="shared" si="61"/>
        <v>349.04115416302761</v>
      </c>
      <c r="BH100" s="62">
        <f t="shared" si="62"/>
        <v>642.37448749636087</v>
      </c>
      <c r="BI100" s="62">
        <f ca="1">AVERAGE(OFFSET($BH$3,0,0,'Données projet'!$E$11+1,1))-AVERAGE(OFFSET($H$3,0,0,'Données projet'!$E$11+1,1))</f>
        <v>165.98015798223548</v>
      </c>
      <c r="BJ100" s="62">
        <f t="shared" si="92"/>
        <v>143.97979034100706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287.83871999999991</v>
      </c>
      <c r="CA100" s="14">
        <f t="shared" si="93"/>
        <v>68.620884395190288</v>
      </c>
      <c r="CB100" s="22">
        <f t="shared" si="64"/>
        <v>620.83381098828954</v>
      </c>
      <c r="CC100" s="62">
        <f t="shared" si="65"/>
        <v>914.1671443216228</v>
      </c>
      <c r="CD100" s="62">
        <f ca="1">AVERAGE(OFFSET($CC$3,0,0,'Données projet'!$E$12+1,1))-AVERAGE(OFFSET($H$3,0,0,'Données projet'!$E$12+1,1))</f>
        <v>335.16942824912076</v>
      </c>
      <c r="CE100" s="62">
        <f t="shared" si="94"/>
        <v>190.00559730122677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152.63300189110146</v>
      </c>
      <c r="T101" s="62">
        <f t="shared" si="88"/>
        <v>236.66430374499453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3.510409298013117</v>
      </c>
      <c r="AA101" s="23">
        <f>EXP(-LN(2)/25)*AA100+(1-EXP(-LN(2)/25))/(LN(2)/25)*Calculateur!V101*Calculateur!X101*VLOOKUP('Données projet'!$B$9,Paramètres!$A$1:$I$89,3,0)*0.475*44/12</f>
        <v>1.4860586531335169</v>
      </c>
      <c r="AB101" s="23">
        <f>EXP(-LN(2)/2)*AB100+(1-EXP(-LN(2)/2))/(LN(2)/2)*V101*Y101*VLOOKUP('Données projet'!$B$9,Paramètres!$A$1:$I$89,3,0)*0.475*44/12</f>
        <v>1.7037459677996508E-10</v>
      </c>
      <c r="AC101" s="24">
        <f t="shared" si="57"/>
        <v>4.9964679513170092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7.0995999999999997</v>
      </c>
      <c r="AI101" s="14">
        <f>IF('Données projet'!$A$62&gt;35,AI100+AH101-AQ100,IF(A101&lt;'Données projet'!$A$62,$AF$205^A101,IF(A101='Données projet'!$A$62,'Données projet'!$B$62,AI100+AH101-AQ100)))</f>
        <v>479.79780000000028</v>
      </c>
      <c r="AJ101" s="14">
        <f>AI101*VLOOKUP('Données projet'!$B$10,Paramètres!$A$1:$I$89,3,0)*VLOOKUP('Données projet'!$B$10,Paramètres!$A$1:$I$89,5,0)</f>
        <v>523.93919760000028</v>
      </c>
      <c r="AK101" s="14">
        <f t="shared" si="89"/>
        <v>116.49536859777395</v>
      </c>
      <c r="AL101" s="22">
        <f t="shared" si="58"/>
        <v>1115.4235361277899</v>
      </c>
      <c r="AM101" s="62">
        <f t="shared" si="59"/>
        <v>1408.7568694611232</v>
      </c>
      <c r="AN101" s="62">
        <f ca="1">AVERAGE(OFFSET($AM$3,0,0,'Données projet'!$E$10+1,1))-AVERAGE(OFFSET($H$3,0,0,'Données projet'!$E$10+1,1))</f>
        <v>886.54265074144564</v>
      </c>
      <c r="AO101" s="62">
        <f t="shared" si="90"/>
        <v>254.8922423500004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1.9400000000000006</v>
      </c>
      <c r="BD101" s="13">
        <f>IF('Données projet'!$A$88&gt;35,BD100+BC101-BL100,IF(A101&lt;'Données projet'!$A$88,$BA$205^A101,IF(A101='Données projet'!$A$88,'Données projet'!$B$88,BD100+BC101-BL100)))</f>
        <v>140.51999999999992</v>
      </c>
      <c r="BE101" s="14">
        <f>BD101*VLOOKUP('Données projet'!$B$11,Paramètres!$A$1:$I$89,3,0)*VLOOKUP('Données projet'!$B$11,Paramètres!$A$1:$I$89,5,0)</f>
        <v>161.87903999999989</v>
      </c>
      <c r="BF101" s="14">
        <f t="shared" si="91"/>
        <v>41.266049698759517</v>
      </c>
      <c r="BG101" s="22">
        <f t="shared" si="61"/>
        <v>353.81103122533932</v>
      </c>
      <c r="BH101" s="62">
        <f t="shared" si="62"/>
        <v>647.14436455867258</v>
      </c>
      <c r="BI101" s="62">
        <f ca="1">AVERAGE(OFFSET($BH$3,0,0,'Données projet'!$E$11+1,1))-AVERAGE(OFFSET($H$3,0,0,'Données projet'!$E$11+1,1))</f>
        <v>165.98015798223548</v>
      </c>
      <c r="BJ101" s="62">
        <f t="shared" si="92"/>
        <v>143.97979034100706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292.73087999999984</v>
      </c>
      <c r="CA101" s="14">
        <f t="shared" si="93"/>
        <v>69.650408084819858</v>
      </c>
      <c r="CB101" s="22">
        <f t="shared" si="64"/>
        <v>631.14741008106091</v>
      </c>
      <c r="CC101" s="62">
        <f t="shared" si="65"/>
        <v>924.48074341439428</v>
      </c>
      <c r="CD101" s="62">
        <f ca="1">AVERAGE(OFFSET($CC$3,0,0,'Données projet'!$E$12+1,1))-AVERAGE(OFFSET($H$3,0,0,'Données projet'!$E$12+1,1))</f>
        <v>335.16942824912076</v>
      </c>
      <c r="CE101" s="62">
        <f t="shared" si="94"/>
        <v>190.00559730122677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152.63300189110146</v>
      </c>
      <c r="T102" s="62">
        <f t="shared" si="88"/>
        <v>236.66430374499453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3.4415723128173319</v>
      </c>
      <c r="AA102" s="23">
        <f>EXP(-LN(2)/25)*AA101+(1-EXP(-LN(2)/25))/(LN(2)/25)*Calculateur!V102*Calculateur!X102*VLOOKUP('Données projet'!$B$9,Paramètres!$A$1:$I$89,3,0)*0.475*44/12</f>
        <v>1.4454223011151528</v>
      </c>
      <c r="AB102" s="23">
        <f>EXP(-LN(2)/2)*AB101+(1-EXP(-LN(2)/2))/(LN(2)/2)*V102*Y102*VLOOKUP('Données projet'!$B$9,Paramètres!$A$1:$I$89,3,0)*0.475*44/12</f>
        <v>1.2047303272503703E-10</v>
      </c>
      <c r="AC102" s="24">
        <f t="shared" si="57"/>
        <v>4.8869946140529583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7.0995999999999997</v>
      </c>
      <c r="AI102" s="14">
        <f>IF('Données projet'!$A$62&gt;35,AI101+AH102-AQ101,IF(A102&lt;'Données projet'!$A$62,$AF$205^A102,IF(A102='Données projet'!$A$62,'Données projet'!$B$62,AI101+AH102-AQ101)))</f>
        <v>486.89740000000029</v>
      </c>
      <c r="AJ102" s="14">
        <f>AI102*VLOOKUP('Données projet'!$B$10,Paramètres!$A$1:$I$89,3,0)*VLOOKUP('Données projet'!$B$10,Paramètres!$A$1:$I$89,5,0)</f>
        <v>531.69196080000029</v>
      </c>
      <c r="AK102" s="14">
        <f t="shared" si="89"/>
        <v>118.01720465548941</v>
      </c>
      <c r="AL102" s="22">
        <f t="shared" si="58"/>
        <v>1131.5767965016446</v>
      </c>
      <c r="AM102" s="62">
        <f t="shared" si="59"/>
        <v>1424.9101298349779</v>
      </c>
      <c r="AN102" s="62">
        <f ca="1">AVERAGE(OFFSET($AM$3,0,0,'Données projet'!$E$10+1,1))-AVERAGE(OFFSET($H$3,0,0,'Données projet'!$E$10+1,1))</f>
        <v>886.54265074144564</v>
      </c>
      <c r="AO102" s="62">
        <f t="shared" si="90"/>
        <v>254.8922423500004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1.9400000000000006</v>
      </c>
      <c r="BD102" s="13">
        <f>IF('Données projet'!$A$88&gt;35,BD101+BC102-BL101,IF(A102&lt;'Données projet'!$A$88,$BA$205^A102,IF(A102='Données projet'!$A$88,'Données projet'!$B$88,BD101+BC102-BL101)))</f>
        <v>142.45999999999992</v>
      </c>
      <c r="BE102" s="14">
        <f>BD102*VLOOKUP('Données projet'!$B$11,Paramètres!$A$1:$I$89,3,0)*VLOOKUP('Données projet'!$B$11,Paramètres!$A$1:$I$89,5,0)</f>
        <v>164.11391999999992</v>
      </c>
      <c r="BF102" s="14">
        <f t="shared" si="91"/>
        <v>41.769046099833574</v>
      </c>
      <c r="BG102" s="22">
        <f t="shared" si="61"/>
        <v>358.57949929054325</v>
      </c>
      <c r="BH102" s="62">
        <f t="shared" si="62"/>
        <v>651.91283262387651</v>
      </c>
      <c r="BI102" s="62">
        <f ca="1">AVERAGE(OFFSET($BH$3,0,0,'Données projet'!$E$11+1,1))-AVERAGE(OFFSET($H$3,0,0,'Données projet'!$E$11+1,1))</f>
        <v>165.98015798223548</v>
      </c>
      <c r="BJ102" s="62">
        <f t="shared" si="92"/>
        <v>143.97979034100706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297.62303999999989</v>
      </c>
      <c r="CA102" s="14">
        <f t="shared" si="93"/>
        <v>70.67793089710905</v>
      </c>
      <c r="CB102" s="22">
        <f t="shared" si="64"/>
        <v>641.45752431246467</v>
      </c>
      <c r="CC102" s="62">
        <f t="shared" si="65"/>
        <v>934.79085764579804</v>
      </c>
      <c r="CD102" s="62">
        <f ca="1">AVERAGE(OFFSET($CC$3,0,0,'Données projet'!$E$12+1,1))-AVERAGE(OFFSET($H$3,0,0,'Données projet'!$E$12+1,1))</f>
        <v>335.16942824912076</v>
      </c>
      <c r="CE102" s="62">
        <f t="shared" si="94"/>
        <v>190.00559730122677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152.63300189110146</v>
      </c>
      <c r="T103" s="62">
        <f t="shared" si="88"/>
        <v>236.66430374499453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3.3740851789148207</v>
      </c>
      <c r="AA103" s="23">
        <f>EXP(-LN(2)/25)*AA102+(1-EXP(-LN(2)/25))/(LN(2)/25)*Calculateur!V103*Calculateur!X103*VLOOKUP('Données projet'!$B$9,Paramètres!$A$1:$I$89,3,0)*0.475*44/12</f>
        <v>1.4058971522797037</v>
      </c>
      <c r="AB103" s="23">
        <f>EXP(-LN(2)/2)*AB102+(1-EXP(-LN(2)/2))/(LN(2)/2)*V103*Y103*VLOOKUP('Données projet'!$B$9,Paramètres!$A$1:$I$89,3,0)*0.475*44/12</f>
        <v>8.5187298389982542E-11</v>
      </c>
      <c r="AC103" s="24">
        <f t="shared" si="57"/>
        <v>4.7799823312797116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493.99700000000001</v>
      </c>
      <c r="AG103" s="13">
        <f>VLOOKUP(A103,'Données projet'!$A$61:$I$81,9,0)</f>
        <v>7.0995999999999997</v>
      </c>
      <c r="AH103" s="13">
        <f t="array" ref="AH103">INDEX(AG:AG,MIN(IF(ISNUMBER(AG103:AG299),ROW(AG103:AG299),"")))</f>
        <v>7.0995999999999997</v>
      </c>
      <c r="AI103" s="14">
        <f>IF('Données projet'!$A$62&gt;35,AI102+AH103-AQ102,IF(A103&lt;'Données projet'!$A$62,$AF$205^A103,IF(A103='Données projet'!$A$62,'Données projet'!$B$62,AI102+AH103-AQ102)))</f>
        <v>493.9970000000003</v>
      </c>
      <c r="AJ103" s="14">
        <f>AI103*VLOOKUP('Données projet'!$B$10,Paramètres!$A$1:$I$89,3,0)*VLOOKUP('Données projet'!$B$10,Paramètres!$A$1:$I$89,5,0)</f>
        <v>539.44472400000029</v>
      </c>
      <c r="AK103" s="14">
        <f t="shared" si="89"/>
        <v>119.53645984965539</v>
      </c>
      <c r="AL103" s="22">
        <f t="shared" si="58"/>
        <v>1147.7255618714837</v>
      </c>
      <c r="AM103" s="62">
        <f t="shared" si="59"/>
        <v>1441.058895204817</v>
      </c>
      <c r="AN103" s="62">
        <f ca="1">AVERAGE(OFFSET($AM$3,0,0,'Données projet'!$E$10+1,1))-AVERAGE(OFFSET($H$3,0,0,'Données projet'!$E$10+1,1))</f>
        <v>886.54265074144564</v>
      </c>
      <c r="AO103" s="62">
        <f t="shared" si="90"/>
        <v>254.8922423500004</v>
      </c>
      <c r="AP103" s="16">
        <f>IF(ISNA(VLOOKUP(A103,'Données projet'!$A$61:$I$81,3,0)),0,VLOOKUP(A103,'Données projet'!$A$61:$I$81,3,0))</f>
        <v>5</v>
      </c>
      <c r="AQ103" s="16">
        <f>IF(ISNA(VLOOKUP(A103,'Données projet'!$A$61:$I$81,4,0)),0,VLOOKUP(A103,'Données projet'!$A$61:$I$81,4,0))</f>
        <v>54.889000000000003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144.4</v>
      </c>
      <c r="BB103" s="13">
        <f>VLOOKUP(A103,'Données projet'!$A$87:$I$107,9,0)</f>
        <v>1.9400000000000006</v>
      </c>
      <c r="BC103" s="13">
        <f t="array" ref="BC103">INDEX(BB:BB,MIN(IF(ISNUMBER(BB103:BB299),ROW(BB103:BB299),"")))</f>
        <v>1.9400000000000006</v>
      </c>
      <c r="BD103" s="13">
        <f>IF('Données projet'!$A$88&gt;35,BD102+BC103-BL102,IF(A103&lt;'Données projet'!$A$88,$BA$205^A103,IF(A103='Données projet'!$A$88,'Données projet'!$B$88,BD102+BC103-BL102)))</f>
        <v>144.39999999999992</v>
      </c>
      <c r="BE103" s="14">
        <f>BD103*VLOOKUP('Données projet'!$B$11,Paramètres!$A$1:$I$89,3,0)*VLOOKUP('Données projet'!$B$11,Paramètres!$A$1:$I$89,5,0)</f>
        <v>166.3487999999999</v>
      </c>
      <c r="BF103" s="14">
        <f t="shared" si="91"/>
        <v>42.271245797484603</v>
      </c>
      <c r="BG103" s="22">
        <f t="shared" si="61"/>
        <v>363.34657976395215</v>
      </c>
      <c r="BH103" s="62">
        <f t="shared" si="62"/>
        <v>656.67991309728541</v>
      </c>
      <c r="BI103" s="62">
        <f ca="1">AVERAGE(OFFSET($BH$3,0,0,'Données projet'!$E$11+1,1))-AVERAGE(OFFSET($H$3,0,0,'Données projet'!$E$11+1,1))</f>
        <v>165.98015798223548</v>
      </c>
      <c r="BJ103" s="62">
        <f t="shared" si="92"/>
        <v>143.97979034100706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13.7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302.51519999999988</v>
      </c>
      <c r="CA103" s="14">
        <f t="shared" si="93"/>
        <v>71.703489517892194</v>
      </c>
      <c r="CB103" s="22">
        <f t="shared" si="64"/>
        <v>651.76421757699529</v>
      </c>
      <c r="CC103" s="62">
        <f t="shared" si="65"/>
        <v>945.09755091032866</v>
      </c>
      <c r="CD103" s="62">
        <f ca="1">AVERAGE(OFFSET($CC$3,0,0,'Données projet'!$E$12+1,1))-AVERAGE(OFFSET($H$3,0,0,'Données projet'!$E$12+1,1))</f>
        <v>335.16942824912076</v>
      </c>
      <c r="CE103" s="62">
        <f t="shared" si="94"/>
        <v>190.00559730122677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152.63300189110146</v>
      </c>
      <c r="T104" s="62">
        <f t="shared" si="88"/>
        <v>236.66430374499453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3.3079214265450507</v>
      </c>
      <c r="AA104" s="23">
        <f>EXP(-LN(2)/25)*AA103+(1-EXP(-LN(2)/25))/(LN(2)/25)*Calculateur!V104*Calculateur!X104*VLOOKUP('Données projet'!$B$9,Paramètres!$A$1:$I$89,3,0)*0.475*44/12</f>
        <v>1.3674528207176972</v>
      </c>
      <c r="AB104" s="23">
        <f>EXP(-LN(2)/2)*AB103+(1-EXP(-LN(2)/2))/(LN(2)/2)*V104*Y104*VLOOKUP('Données projet'!$B$9,Paramètres!$A$1:$I$89,3,0)*0.475*44/12</f>
        <v>6.0236516362518516E-11</v>
      </c>
      <c r="AC104" s="24">
        <f t="shared" si="57"/>
        <v>4.675374247322984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6.8157666666666668</v>
      </c>
      <c r="AI104" s="14">
        <f>IF('Données projet'!$A$62&gt;35,AI103+AH104-AQ103,IF(A104&lt;'Données projet'!$A$62,$AF$205^A104,IF(A104='Données projet'!$A$62,'Données projet'!$B$62,AI103+AH104-AQ103)))</f>
        <v>445.92376666666695</v>
      </c>
      <c r="AJ104" s="14">
        <f>AI104*VLOOKUP('Données projet'!$B$10,Paramètres!$A$1:$I$89,3,0)*VLOOKUP('Données projet'!$B$10,Paramètres!$A$1:$I$89,5,0)</f>
        <v>486.94875320000028</v>
      </c>
      <c r="AK104" s="14">
        <f t="shared" si="89"/>
        <v>109.19739343862776</v>
      </c>
      <c r="AL104" s="22">
        <f t="shared" si="58"/>
        <v>1038.2878720622773</v>
      </c>
      <c r="AM104" s="62">
        <f t="shared" si="59"/>
        <v>1331.6212053956106</v>
      </c>
      <c r="AN104" s="62">
        <f ca="1">AVERAGE(OFFSET($AM$3,0,0,'Données projet'!$E$10+1,1))-AVERAGE(OFFSET($H$3,0,0,'Données projet'!$E$10+1,1))</f>
        <v>886.54265074144564</v>
      </c>
      <c r="AO104" s="62">
        <f t="shared" si="90"/>
        <v>254.8922423500004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1.7999999999999972</v>
      </c>
      <c r="BD104" s="13">
        <f>IF('Données projet'!$A$88&gt;35,BD103+BC104-BL103,IF(A104&lt;'Données projet'!$A$88,$BA$205^A104,IF(A104='Données projet'!$A$88,'Données projet'!$B$88,BD103+BC104-BL103)))</f>
        <v>132.49999999999994</v>
      </c>
      <c r="BE104" s="14">
        <f>BD104*VLOOKUP('Données projet'!$B$11,Paramètres!$A$1:$I$89,3,0)*VLOOKUP('Données projet'!$B$11,Paramètres!$A$1:$I$89,5,0)</f>
        <v>152.63999999999993</v>
      </c>
      <c r="BF104" s="14">
        <f t="shared" si="91"/>
        <v>39.17792454177512</v>
      </c>
      <c r="BG104" s="22">
        <f t="shared" si="61"/>
        <v>334.08288524359153</v>
      </c>
      <c r="BH104" s="62">
        <f t="shared" si="62"/>
        <v>627.41621857692485</v>
      </c>
      <c r="BI104" s="62">
        <f ca="1">AVERAGE(OFFSET($BH$3,0,0,'Données projet'!$E$11+1,1))-AVERAGE(OFFSET($H$3,0,0,'Données projet'!$E$11+1,1))</f>
        <v>165.98015798223548</v>
      </c>
      <c r="BJ104" s="62">
        <f t="shared" si="92"/>
        <v>143.97979034100706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264.9753599999998</v>
      </c>
      <c r="CA104" s="14">
        <f t="shared" si="93"/>
        <v>63.781750830403567</v>
      </c>
      <c r="CB104" s="22">
        <f t="shared" si="64"/>
        <v>572.58530136295246</v>
      </c>
      <c r="CC104" s="62">
        <f t="shared" si="65"/>
        <v>865.91863469628584</v>
      </c>
      <c r="CD104" s="62">
        <f ca="1">AVERAGE(OFFSET($CC$3,0,0,'Données projet'!$E$12+1,1))-AVERAGE(OFFSET($H$3,0,0,'Données projet'!$E$12+1,1))</f>
        <v>335.16942824912076</v>
      </c>
      <c r="CE104" s="62">
        <f t="shared" si="94"/>
        <v>190.00559730122677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152.63300189110146</v>
      </c>
      <c r="T105" s="62">
        <f t="shared" si="88"/>
        <v>236.66430374499453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3.2430551050033478</v>
      </c>
      <c r="AA105" s="23">
        <f>EXP(-LN(2)/25)*AA104+(1-EXP(-LN(2)/25))/(LN(2)/25)*Calculateur!V105*Calculateur!X105*VLOOKUP('Données projet'!$B$9,Paramètres!$A$1:$I$89,3,0)*0.475*44/12</f>
        <v>1.3300597514239534</v>
      </c>
      <c r="AB105" s="23">
        <f>EXP(-LN(2)/2)*AB104+(1-EXP(-LN(2)/2))/(LN(2)/2)*V105*Y105*VLOOKUP('Données projet'!$B$9,Paramètres!$A$1:$I$89,3,0)*0.475*44/12</f>
        <v>4.2593649194991271E-11</v>
      </c>
      <c r="AC105" s="24">
        <f t="shared" si="57"/>
        <v>4.5731148564698945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6.8157666666666668</v>
      </c>
      <c r="AI105" s="14">
        <f>IF('Données projet'!$A$62&gt;35,AI104+AH105-AQ104,IF(A105&lt;'Données projet'!$A$62,$AF$205^A105,IF(A105='Données projet'!$A$62,'Données projet'!$B$62,AI104+AH105-AQ104)))</f>
        <v>452.73953333333361</v>
      </c>
      <c r="AJ105" s="14">
        <f>AI105*VLOOKUP('Données projet'!$B$10,Paramètres!$A$1:$I$89,3,0)*VLOOKUP('Données projet'!$B$10,Paramètres!$A$1:$I$89,5,0)</f>
        <v>494.39157040000026</v>
      </c>
      <c r="AK105" s="14">
        <f t="shared" si="89"/>
        <v>110.67085140310894</v>
      </c>
      <c r="AL105" s="22">
        <f t="shared" si="58"/>
        <v>1053.8170513070818</v>
      </c>
      <c r="AM105" s="62">
        <f t="shared" si="59"/>
        <v>1347.150384640415</v>
      </c>
      <c r="AN105" s="62">
        <f ca="1">AVERAGE(OFFSET($AM$3,0,0,'Données projet'!$E$10+1,1))-AVERAGE(OFFSET($H$3,0,0,'Données projet'!$E$10+1,1))</f>
        <v>886.54265074144564</v>
      </c>
      <c r="AO105" s="62">
        <f t="shared" si="90"/>
        <v>254.8922423500004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1.7999999999999972</v>
      </c>
      <c r="BD105" s="13">
        <f>IF('Données projet'!$A$88&gt;35,BD104+BC105-BL104,IF(A105&lt;'Données projet'!$A$88,$BA$205^A105,IF(A105='Données projet'!$A$88,'Données projet'!$B$88,BD104+BC105-BL104)))</f>
        <v>134.29999999999995</v>
      </c>
      <c r="BE105" s="14">
        <f>BD105*VLOOKUP('Données projet'!$B$11,Paramètres!$A$1:$I$89,3,0)*VLOOKUP('Données projet'!$B$11,Paramètres!$A$1:$I$89,5,0)</f>
        <v>154.71359999999993</v>
      </c>
      <c r="BF105" s="14">
        <f t="shared" si="91"/>
        <v>39.647831609620148</v>
      </c>
      <c r="BG105" s="22">
        <f t="shared" si="61"/>
        <v>338.51282672008824</v>
      </c>
      <c r="BH105" s="62">
        <f t="shared" si="62"/>
        <v>631.8461600534215</v>
      </c>
      <c r="BI105" s="62">
        <f ca="1">AVERAGE(OFFSET($BH$3,0,0,'Données projet'!$E$11+1,1))-AVERAGE(OFFSET($H$3,0,0,'Données projet'!$E$11+1,1))</f>
        <v>165.98015798223548</v>
      </c>
      <c r="BJ105" s="62">
        <f t="shared" si="92"/>
        <v>143.97979034100706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269.36831999999976</v>
      </c>
      <c r="CA105" s="14">
        <f t="shared" si="93"/>
        <v>64.715192579710433</v>
      </c>
      <c r="CB105" s="22">
        <f t="shared" si="64"/>
        <v>581.86211774299522</v>
      </c>
      <c r="CC105" s="62">
        <f t="shared" si="65"/>
        <v>875.19545107632848</v>
      </c>
      <c r="CD105" s="62">
        <f ca="1">AVERAGE(OFFSET($CC$3,0,0,'Données projet'!$E$12+1,1))-AVERAGE(OFFSET($H$3,0,0,'Données projet'!$E$12+1,1))</f>
        <v>335.16942824912076</v>
      </c>
      <c r="CE105" s="62">
        <f t="shared" si="94"/>
        <v>190.00559730122677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152.63300189110146</v>
      </c>
      <c r="T106" s="62">
        <f t="shared" si="88"/>
        <v>236.66430374499453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3.1794607724625283</v>
      </c>
      <c r="AA106" s="23">
        <f>EXP(-LN(2)/25)*AA105+(1-EXP(-LN(2)/25))/(LN(2)/25)*Calculateur!V106*Calculateur!X106*VLOOKUP('Données projet'!$B$9,Paramètres!$A$1:$I$89,3,0)*0.475*44/12</f>
        <v>1.2936891975764628</v>
      </c>
      <c r="AB106" s="23">
        <f>EXP(-LN(2)/2)*AB105+(1-EXP(-LN(2)/2))/(LN(2)/2)*V106*Y106*VLOOKUP('Données projet'!$B$9,Paramètres!$A$1:$I$89,3,0)*0.475*44/12</f>
        <v>3.0118258181259258E-11</v>
      </c>
      <c r="AC106" s="24">
        <f t="shared" si="57"/>
        <v>4.4731499700691089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6.8157666666666668</v>
      </c>
      <c r="AI106" s="14">
        <f>IF('Données projet'!$A$62&gt;35,AI105+AH106-AQ105,IF(A106&lt;'Données projet'!$A$62,$AF$205^A106,IF(A106='Données projet'!$A$62,'Données projet'!$B$62,AI105+AH106-AQ105)))</f>
        <v>459.55530000000027</v>
      </c>
      <c r="AJ106" s="14">
        <f>AI106*VLOOKUP('Données projet'!$B$10,Paramètres!$A$1:$I$89,3,0)*VLOOKUP('Données projet'!$B$10,Paramètres!$A$1:$I$89,5,0)</f>
        <v>501.8343876000003</v>
      </c>
      <c r="AK106" s="14">
        <f t="shared" si="89"/>
        <v>112.14172952082673</v>
      </c>
      <c r="AL106" s="22">
        <f t="shared" si="58"/>
        <v>1069.3417373187735</v>
      </c>
      <c r="AM106" s="62">
        <f t="shared" si="59"/>
        <v>1362.6750706521068</v>
      </c>
      <c r="AN106" s="62">
        <f ca="1">AVERAGE(OFFSET($AM$3,0,0,'Données projet'!$E$10+1,1))-AVERAGE(OFFSET($H$3,0,0,'Données projet'!$E$10+1,1))</f>
        <v>886.54265074144564</v>
      </c>
      <c r="AO106" s="62">
        <f t="shared" si="90"/>
        <v>254.8922423500004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1.7999999999999972</v>
      </c>
      <c r="BD106" s="13">
        <f>IF('Données projet'!$A$88&gt;35,BD105+BC106-BL105,IF(A106&lt;'Données projet'!$A$88,$BA$205^A106,IF(A106='Données projet'!$A$88,'Données projet'!$B$88,BD105+BC106-BL105)))</f>
        <v>136.09999999999997</v>
      </c>
      <c r="BE106" s="14">
        <f>BD106*VLOOKUP('Données projet'!$B$11,Paramètres!$A$1:$I$89,3,0)*VLOOKUP('Données projet'!$B$11,Paramètres!$A$1:$I$89,5,0)</f>
        <v>156.78719999999993</v>
      </c>
      <c r="BF106" s="14">
        <f t="shared" si="91"/>
        <v>40.117006128811909</v>
      </c>
      <c r="BG106" s="22">
        <f t="shared" si="61"/>
        <v>342.94149234101388</v>
      </c>
      <c r="BH106" s="62">
        <f t="shared" si="62"/>
        <v>636.2748256743472</v>
      </c>
      <c r="BI106" s="62">
        <f ca="1">AVERAGE(OFFSET($BH$3,0,0,'Données projet'!$E$11+1,1))-AVERAGE(OFFSET($H$3,0,0,'Données projet'!$E$11+1,1))</f>
        <v>165.98015798223548</v>
      </c>
      <c r="BJ106" s="62">
        <f t="shared" si="92"/>
        <v>143.97979034100706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273.76127999999977</v>
      </c>
      <c r="CA106" s="14">
        <f t="shared" si="93"/>
        <v>65.646863978988435</v>
      </c>
      <c r="CB106" s="22">
        <f t="shared" si="64"/>
        <v>591.13585076340439</v>
      </c>
      <c r="CC106" s="62">
        <f t="shared" si="65"/>
        <v>884.46918409673776</v>
      </c>
      <c r="CD106" s="62">
        <f ca="1">AVERAGE(OFFSET($CC$3,0,0,'Données projet'!$E$12+1,1))-AVERAGE(OFFSET($H$3,0,0,'Données projet'!$E$12+1,1))</f>
        <v>335.16942824912076</v>
      </c>
      <c r="CE106" s="62">
        <f t="shared" si="94"/>
        <v>190.00559730122677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152.63300189110146</v>
      </c>
      <c r="T107" s="62">
        <f t="shared" si="88"/>
        <v>236.66430374499453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3.1171134859941212</v>
      </c>
      <c r="AA107" s="23">
        <f>EXP(-LN(2)/25)*AA106+(1-EXP(-LN(2)/25))/(LN(2)/25)*Calculateur!V107*Calculateur!X107*VLOOKUP('Données projet'!$B$9,Paramètres!$A$1:$I$89,3,0)*0.475*44/12</f>
        <v>1.2583131984365763</v>
      </c>
      <c r="AB107" s="23">
        <f>EXP(-LN(2)/2)*AB106+(1-EXP(-LN(2)/2))/(LN(2)/2)*V107*Y107*VLOOKUP('Données projet'!$B$9,Paramètres!$A$1:$I$89,3,0)*0.475*44/12</f>
        <v>2.1296824597495636E-11</v>
      </c>
      <c r="AC107" s="24">
        <f t="shared" si="57"/>
        <v>4.3754266844519947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6.8157666666666668</v>
      </c>
      <c r="AI107" s="14">
        <f>IF('Données projet'!$A$62&gt;35,AI106+AH107-AQ106,IF(A107&lt;'Données projet'!$A$62,$AF$205^A107,IF(A107='Données projet'!$A$62,'Données projet'!$B$62,AI106+AH107-AQ106)))</f>
        <v>466.37106666666693</v>
      </c>
      <c r="AJ107" s="14">
        <f>AI107*VLOOKUP('Données projet'!$B$10,Paramètres!$A$1:$I$89,3,0)*VLOOKUP('Données projet'!$B$10,Paramètres!$A$1:$I$89,5,0)</f>
        <v>509.27720480000028</v>
      </c>
      <c r="AK107" s="14">
        <f t="shared" si="89"/>
        <v>113.61007047409083</v>
      </c>
      <c r="AL107" s="22">
        <f t="shared" si="58"/>
        <v>1084.8620044357085</v>
      </c>
      <c r="AM107" s="62">
        <f t="shared" si="59"/>
        <v>1378.1953377690418</v>
      </c>
      <c r="AN107" s="62">
        <f ca="1">AVERAGE(OFFSET($AM$3,0,0,'Données projet'!$E$10+1,1))-AVERAGE(OFFSET($H$3,0,0,'Données projet'!$E$10+1,1))</f>
        <v>886.54265074144564</v>
      </c>
      <c r="AO107" s="62">
        <f t="shared" si="90"/>
        <v>254.8922423500004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1.7999999999999972</v>
      </c>
      <c r="BD107" s="13">
        <f>IF('Données projet'!$A$88&gt;35,BD106+BC107-BL106,IF(A107&lt;'Données projet'!$A$88,$BA$205^A107,IF(A107='Données projet'!$A$88,'Données projet'!$B$88,BD106+BC107-BL106)))</f>
        <v>137.89999999999998</v>
      </c>
      <c r="BE107" s="14">
        <f>BD107*VLOOKUP('Données projet'!$B$11,Paramètres!$A$1:$I$89,3,0)*VLOOKUP('Données projet'!$B$11,Paramètres!$A$1:$I$89,5,0)</f>
        <v>158.86079999999998</v>
      </c>
      <c r="BF107" s="14">
        <f t="shared" si="91"/>
        <v>40.58545890776287</v>
      </c>
      <c r="BG107" s="22">
        <f t="shared" si="61"/>
        <v>347.36890093102028</v>
      </c>
      <c r="BH107" s="62">
        <f t="shared" si="62"/>
        <v>640.70223426435359</v>
      </c>
      <c r="BI107" s="62">
        <f ca="1">AVERAGE(OFFSET($BH$3,0,0,'Données projet'!$E$11+1,1))-AVERAGE(OFFSET($H$3,0,0,'Données projet'!$E$11+1,1))</f>
        <v>165.98015798223548</v>
      </c>
      <c r="BJ107" s="62">
        <f t="shared" si="92"/>
        <v>143.97979034100706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278.15423999999973</v>
      </c>
      <c r="CA107" s="14">
        <f t="shared" si="93"/>
        <v>66.576796716338521</v>
      </c>
      <c r="CB107" s="22">
        <f t="shared" si="64"/>
        <v>600.40655561428912</v>
      </c>
      <c r="CC107" s="62">
        <f t="shared" si="65"/>
        <v>893.73988894762238</v>
      </c>
      <c r="CD107" s="62">
        <f ca="1">AVERAGE(OFFSET($CC$3,0,0,'Données projet'!$E$12+1,1))-AVERAGE(OFFSET($H$3,0,0,'Données projet'!$E$12+1,1))</f>
        <v>335.16942824912076</v>
      </c>
      <c r="CE107" s="62">
        <f t="shared" si="94"/>
        <v>190.00559730122677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152.63300189110146</v>
      </c>
      <c r="T108" s="62">
        <f t="shared" si="88"/>
        <v>236.66430374499453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3.0559887917852699</v>
      </c>
      <c r="AA108" s="23">
        <f>EXP(-LN(2)/25)*AA107+(1-EXP(-LN(2)/25))/(LN(2)/25)*Calculateur!V108*Calculateur!X108*VLOOKUP('Données projet'!$B$9,Paramètres!$A$1:$I$89,3,0)*0.475*44/12</f>
        <v>1.2239045578535128</v>
      </c>
      <c r="AB108" s="23">
        <f>EXP(-LN(2)/2)*AB107+(1-EXP(-LN(2)/2))/(LN(2)/2)*V108*Y108*VLOOKUP('Données projet'!$B$9,Paramètres!$A$1:$I$89,3,0)*0.475*44/12</f>
        <v>1.5059129090629629E-11</v>
      </c>
      <c r="AC108" s="24">
        <f t="shared" si="57"/>
        <v>4.2798933496538423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6.8157666666666668</v>
      </c>
      <c r="AI108" s="14">
        <f>IF('Données projet'!$A$62&gt;35,AI107+AH108-AQ107,IF(A108&lt;'Données projet'!$A$62,$AF$205^A108,IF(A108='Données projet'!$A$62,'Données projet'!$B$62,AI107+AH108-AQ107)))</f>
        <v>473.1868333333336</v>
      </c>
      <c r="AJ108" s="14">
        <f>AI108*VLOOKUP('Données projet'!$B$10,Paramètres!$A$1:$I$89,3,0)*VLOOKUP('Données projet'!$B$10,Paramètres!$A$1:$I$89,5,0)</f>
        <v>516.7200220000002</v>
      </c>
      <c r="AK108" s="14">
        <f t="shared" si="89"/>
        <v>115.07591562602613</v>
      </c>
      <c r="AL108" s="22">
        <f t="shared" si="58"/>
        <v>1100.3779246986624</v>
      </c>
      <c r="AM108" s="62">
        <f t="shared" si="59"/>
        <v>1393.7112580319956</v>
      </c>
      <c r="AN108" s="62">
        <f ca="1">AVERAGE(OFFSET($AM$3,0,0,'Données projet'!$E$10+1,1))-AVERAGE(OFFSET($H$3,0,0,'Données projet'!$E$10+1,1))</f>
        <v>886.54265074144564</v>
      </c>
      <c r="AO108" s="62">
        <f t="shared" si="90"/>
        <v>254.8922423500004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1.7999999999999972</v>
      </c>
      <c r="BD108" s="13">
        <f>IF('Données projet'!$A$88&gt;35,BD107+BC108-BL107,IF(A108&lt;'Données projet'!$A$88,$BA$205^A108,IF(A108='Données projet'!$A$88,'Données projet'!$B$88,BD107+BC108-BL107)))</f>
        <v>139.69999999999999</v>
      </c>
      <c r="BE108" s="14">
        <f>BD108*VLOOKUP('Données projet'!$B$11,Paramètres!$A$1:$I$89,3,0)*VLOOKUP('Données projet'!$B$11,Paramètres!$A$1:$I$89,5,0)</f>
        <v>160.93439999999998</v>
      </c>
      <c r="BF108" s="14">
        <f t="shared" si="91"/>
        <v>41.053200456502012</v>
      </c>
      <c r="BG108" s="22">
        <f t="shared" si="61"/>
        <v>351.79507079507425</v>
      </c>
      <c r="BH108" s="62">
        <f t="shared" si="62"/>
        <v>645.12840412840751</v>
      </c>
      <c r="BI108" s="62">
        <f ca="1">AVERAGE(OFFSET($BH$3,0,0,'Données projet'!$E$11+1,1))-AVERAGE(OFFSET($H$3,0,0,'Données projet'!$E$11+1,1))</f>
        <v>165.98015798223548</v>
      </c>
      <c r="BJ108" s="62">
        <f t="shared" si="92"/>
        <v>143.97979034100706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282.54719999999975</v>
      </c>
      <c r="CA108" s="14">
        <f t="shared" si="93"/>
        <v>67.505021421533542</v>
      </c>
      <c r="CB108" s="22">
        <f t="shared" si="64"/>
        <v>609.67428564250383</v>
      </c>
      <c r="CC108" s="62">
        <f t="shared" si="65"/>
        <v>903.0076189758372</v>
      </c>
      <c r="CD108" s="62">
        <f ca="1">AVERAGE(OFFSET($CC$3,0,0,'Données projet'!$E$12+1,1))-AVERAGE(OFFSET($H$3,0,0,'Données projet'!$E$12+1,1))</f>
        <v>335.16942824912076</v>
      </c>
      <c r="CE108" s="62">
        <f t="shared" si="94"/>
        <v>190.00559730122677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152.63300189110146</v>
      </c>
      <c r="T109" s="62">
        <f t="shared" si="88"/>
        <v>236.66430374499453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2.9960627155474722</v>
      </c>
      <c r="AA109" s="23">
        <f>EXP(-LN(2)/25)*AA108+(1-EXP(-LN(2)/25))/(LN(2)/25)*Calculateur!V109*Calculateur!X109*VLOOKUP('Données projet'!$B$9,Paramètres!$A$1:$I$89,3,0)*0.475*44/12</f>
        <v>1.1904368233566651</v>
      </c>
      <c r="AB109" s="23">
        <f>EXP(-LN(2)/2)*AB108+(1-EXP(-LN(2)/2))/(LN(2)/2)*V109*Y109*VLOOKUP('Données projet'!$B$9,Paramètres!$A$1:$I$89,3,0)*0.475*44/12</f>
        <v>1.0648412298747818E-11</v>
      </c>
      <c r="AC109" s="24">
        <f t="shared" si="57"/>
        <v>4.1864995389147852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6.8157666666666668</v>
      </c>
      <c r="AI109" s="14">
        <f>IF('Données projet'!$A$62&gt;35,AI108+AH109-AQ108,IF(A109&lt;'Données projet'!$A$62,$AF$205^A109,IF(A109='Données projet'!$A$62,'Données projet'!$B$62,AI108+AH109-AQ108)))</f>
        <v>480.00260000000026</v>
      </c>
      <c r="AJ109" s="14">
        <f>AI109*VLOOKUP('Données projet'!$B$10,Paramètres!$A$1:$I$89,3,0)*VLOOKUP('Données projet'!$B$10,Paramètres!$A$1:$I$89,5,0)</f>
        <v>524.16283920000035</v>
      </c>
      <c r="AK109" s="14">
        <f t="shared" si="89"/>
        <v>116.53930507974806</v>
      </c>
      <c r="AL109" s="22">
        <f t="shared" si="58"/>
        <v>1115.889567953895</v>
      </c>
      <c r="AM109" s="62">
        <f t="shared" si="59"/>
        <v>1409.2229012872283</v>
      </c>
      <c r="AN109" s="62">
        <f ca="1">AVERAGE(OFFSET($AM$3,0,0,'Données projet'!$E$10+1,1))-AVERAGE(OFFSET($H$3,0,0,'Données projet'!$E$10+1,1))</f>
        <v>886.54265074144564</v>
      </c>
      <c r="AO109" s="62">
        <f t="shared" si="90"/>
        <v>254.8922423500004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1.7999999999999972</v>
      </c>
      <c r="BD109" s="13">
        <f>IF('Données projet'!$A$88&gt;35,BD108+BC109-BL108,IF(A109&lt;'Données projet'!$A$88,$BA$205^A109,IF(A109='Données projet'!$A$88,'Données projet'!$B$88,BD108+BC109-BL108)))</f>
        <v>141.5</v>
      </c>
      <c r="BE109" s="14">
        <f>BD109*VLOOKUP('Données projet'!$B$11,Paramètres!$A$1:$I$89,3,0)*VLOOKUP('Données projet'!$B$11,Paramètres!$A$1:$I$89,5,0)</f>
        <v>163.00800000000001</v>
      </c>
      <c r="BF109" s="14">
        <f t="shared" si="91"/>
        <v>41.520240998648561</v>
      </c>
      <c r="BG109" s="22">
        <f t="shared" si="61"/>
        <v>356.22001973931293</v>
      </c>
      <c r="BH109" s="62">
        <f t="shared" si="62"/>
        <v>649.55335307264625</v>
      </c>
      <c r="BI109" s="62">
        <f ca="1">AVERAGE(OFFSET($BH$3,0,0,'Données projet'!$E$11+1,1))-AVERAGE(OFFSET($H$3,0,0,'Données projet'!$E$11+1,1))</f>
        <v>165.98015798223548</v>
      </c>
      <c r="BJ109" s="62">
        <f t="shared" si="92"/>
        <v>143.97979034100706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286.94015999999971</v>
      </c>
      <c r="CA109" s="14">
        <f t="shared" si="93"/>
        <v>68.431567717259199</v>
      </c>
      <c r="CB109" s="22">
        <f t="shared" si="64"/>
        <v>618.93909244089252</v>
      </c>
      <c r="CC109" s="62">
        <f t="shared" si="65"/>
        <v>912.27242577422589</v>
      </c>
      <c r="CD109" s="62">
        <f ca="1">AVERAGE(OFFSET($CC$3,0,0,'Données projet'!$E$12+1,1))-AVERAGE(OFFSET($H$3,0,0,'Données projet'!$E$12+1,1))</f>
        <v>335.16942824912076</v>
      </c>
      <c r="CE109" s="62">
        <f t="shared" si="94"/>
        <v>190.00559730122677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152.63300189110146</v>
      </c>
      <c r="T110" s="62">
        <f t="shared" si="88"/>
        <v>236.66430374499453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2.9373117531134003</v>
      </c>
      <c r="AA110" s="23">
        <f>EXP(-LN(2)/25)*AA109+(1-EXP(-LN(2)/25))/(LN(2)/25)*Calculateur!V110*Calculateur!X110*VLOOKUP('Données projet'!$B$9,Paramètres!$A$1:$I$89,3,0)*0.475*44/12</f>
        <v>1.1578842658196253</v>
      </c>
      <c r="AB110" s="23">
        <f>EXP(-LN(2)/2)*AB109+(1-EXP(-LN(2)/2))/(LN(2)/2)*V110*Y110*VLOOKUP('Données projet'!$B$9,Paramètres!$A$1:$I$89,3,0)*0.475*44/12</f>
        <v>7.5295645453148146E-12</v>
      </c>
      <c r="AC110" s="24">
        <f t="shared" si="57"/>
        <v>4.0951960189405554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6.8157666666666668</v>
      </c>
      <c r="AI110" s="14">
        <f>IF('Données projet'!$A$62&gt;35,AI109+AH110-AQ109,IF(A110&lt;'Données projet'!$A$62,$AF$205^A110,IF(A110='Données projet'!$A$62,'Données projet'!$B$62,AI109+AH110-AQ109)))</f>
        <v>486.81836666666692</v>
      </c>
      <c r="AJ110" s="14">
        <f>AI110*VLOOKUP('Données projet'!$B$10,Paramètres!$A$1:$I$89,3,0)*VLOOKUP('Données projet'!$B$10,Paramètres!$A$1:$I$89,5,0)</f>
        <v>531.60565640000027</v>
      </c>
      <c r="AK110" s="14">
        <f t="shared" si="89"/>
        <v>118.0002777340802</v>
      </c>
      <c r="AL110" s="22">
        <f t="shared" si="58"/>
        <v>1131.3970019501901</v>
      </c>
      <c r="AM110" s="62">
        <f t="shared" si="59"/>
        <v>1424.7303352835233</v>
      </c>
      <c r="AN110" s="62">
        <f ca="1">AVERAGE(OFFSET($AM$3,0,0,'Données projet'!$E$10+1,1))-AVERAGE(OFFSET($H$3,0,0,'Données projet'!$E$10+1,1))</f>
        <v>886.54265074144564</v>
      </c>
      <c r="AO110" s="62">
        <f t="shared" si="90"/>
        <v>254.8922423500004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1.7999999999999972</v>
      </c>
      <c r="BD110" s="13">
        <f>IF('Données projet'!$A$88&gt;35,BD109+BC110-BL109,IF(A110&lt;'Données projet'!$A$88,$BA$205^A110,IF(A110='Données projet'!$A$88,'Données projet'!$B$88,BD109+BC110-BL109)))</f>
        <v>143.30000000000001</v>
      </c>
      <c r="BE110" s="14">
        <f>BD110*VLOOKUP('Données projet'!$B$11,Paramètres!$A$1:$I$89,3,0)*VLOOKUP('Données projet'!$B$11,Paramètres!$A$1:$I$89,5,0)</f>
        <v>165.08160000000001</v>
      </c>
      <c r="BF110" s="14">
        <f t="shared" si="91"/>
        <v>41.986590482758771</v>
      </c>
      <c r="BG110" s="22">
        <f t="shared" si="61"/>
        <v>360.64376509080483</v>
      </c>
      <c r="BH110" s="62">
        <f t="shared" si="62"/>
        <v>653.97709842413815</v>
      </c>
      <c r="BI110" s="62">
        <f ca="1">AVERAGE(OFFSET($BH$3,0,0,'Données projet'!$E$11+1,1))-AVERAGE(OFFSET($H$3,0,0,'Données projet'!$E$11+1,1))</f>
        <v>165.98015798223548</v>
      </c>
      <c r="BJ110" s="62">
        <f t="shared" si="92"/>
        <v>143.97979034100706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291.33311999999967</v>
      </c>
      <c r="CA110" s="14">
        <f t="shared" si="93"/>
        <v>69.356464267127706</v>
      </c>
      <c r="CB110" s="22">
        <f t="shared" si="64"/>
        <v>628.20102593191348</v>
      </c>
      <c r="CC110" s="62">
        <f t="shared" si="65"/>
        <v>921.53435926524685</v>
      </c>
      <c r="CD110" s="62">
        <f ca="1">AVERAGE(OFFSET($CC$3,0,0,'Données projet'!$E$12+1,1))-AVERAGE(OFFSET($H$3,0,0,'Données projet'!$E$12+1,1))</f>
        <v>335.16942824912076</v>
      </c>
      <c r="CE110" s="62">
        <f t="shared" si="94"/>
        <v>190.00559730122677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152.63300189110146</v>
      </c>
      <c r="T111" s="62">
        <f t="shared" si="88"/>
        <v>236.66430374499453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2.879712861218112</v>
      </c>
      <c r="AA111" s="23">
        <f>EXP(-LN(2)/25)*AA110+(1-EXP(-LN(2)/25))/(LN(2)/25)*Calculateur!V111*Calculateur!X111*VLOOKUP('Données projet'!$B$9,Paramètres!$A$1:$I$89,3,0)*0.475*44/12</f>
        <v>1.1262218596803004</v>
      </c>
      <c r="AB111" s="23">
        <f>EXP(-LN(2)/2)*AB110+(1-EXP(-LN(2)/2))/(LN(2)/2)*V111*Y111*VLOOKUP('Données projet'!$B$9,Paramètres!$A$1:$I$89,3,0)*0.475*44/12</f>
        <v>5.3242061493739089E-12</v>
      </c>
      <c r="AC111" s="24">
        <f t="shared" si="57"/>
        <v>4.0059347209037375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6.8157666666666668</v>
      </c>
      <c r="AI111" s="14">
        <f>IF('Données projet'!$A$62&gt;35,AI110+AH111-AQ110,IF(A111&lt;'Données projet'!$A$62,$AF$205^A111,IF(A111='Données projet'!$A$62,'Données projet'!$B$62,AI110+AH111-AQ110)))</f>
        <v>493.63413333333358</v>
      </c>
      <c r="AJ111" s="14">
        <f>AI111*VLOOKUP('Données projet'!$B$10,Paramètres!$A$1:$I$89,3,0)*VLOOKUP('Données projet'!$B$10,Paramètres!$A$1:$I$89,5,0)</f>
        <v>539.04847360000019</v>
      </c>
      <c r="AK111" s="14">
        <f t="shared" si="89"/>
        <v>119.45887133606379</v>
      </c>
      <c r="AL111" s="22">
        <f t="shared" si="58"/>
        <v>1146.9002924303113</v>
      </c>
      <c r="AM111" s="62">
        <f t="shared" si="59"/>
        <v>1440.2336257636446</v>
      </c>
      <c r="AN111" s="62">
        <f ca="1">AVERAGE(OFFSET($AM$3,0,0,'Données projet'!$E$10+1,1))-AVERAGE(OFFSET($H$3,0,0,'Données projet'!$E$10+1,1))</f>
        <v>886.54265074144564</v>
      </c>
      <c r="AO111" s="62">
        <f t="shared" si="90"/>
        <v>254.8922423500004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1.7999999999999972</v>
      </c>
      <c r="BD111" s="13">
        <f>IF('Données projet'!$A$88&gt;35,BD110+BC111-BL110,IF(A111&lt;'Données projet'!$A$88,$BA$205^A111,IF(A111='Données projet'!$A$88,'Données projet'!$B$88,BD110+BC111-BL110)))</f>
        <v>145.10000000000002</v>
      </c>
      <c r="BE111" s="14">
        <f>BD111*VLOOKUP('Données projet'!$B$11,Paramètres!$A$1:$I$89,3,0)*VLOOKUP('Données projet'!$B$11,Paramètres!$A$1:$I$89,5,0)</f>
        <v>167.15520000000001</v>
      </c>
      <c r="BF111" s="14">
        <f t="shared" si="91"/>
        <v>42.452258593086974</v>
      </c>
      <c r="BG111" s="22">
        <f t="shared" si="61"/>
        <v>365.0663237162932</v>
      </c>
      <c r="BH111" s="62">
        <f t="shared" si="62"/>
        <v>658.39965704962651</v>
      </c>
      <c r="BI111" s="62">
        <f ca="1">AVERAGE(OFFSET($BH$3,0,0,'Données projet'!$E$11+1,1))-AVERAGE(OFFSET($H$3,0,0,'Données projet'!$E$11+1,1))</f>
        <v>165.98015798223548</v>
      </c>
      <c r="BJ111" s="62">
        <f t="shared" si="92"/>
        <v>143.97979034100706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295.72607999999968</v>
      </c>
      <c r="CA111" s="14">
        <f t="shared" si="93"/>
        <v>70.27973882071349</v>
      </c>
      <c r="CB111" s="22">
        <f t="shared" si="64"/>
        <v>637.46013444607536</v>
      </c>
      <c r="CC111" s="62">
        <f t="shared" si="65"/>
        <v>930.79346777940873</v>
      </c>
      <c r="CD111" s="62">
        <f ca="1">AVERAGE(OFFSET($CC$3,0,0,'Données projet'!$E$12+1,1))-AVERAGE(OFFSET($H$3,0,0,'Données projet'!$E$12+1,1))</f>
        <v>335.16942824912076</v>
      </c>
      <c r="CE111" s="62">
        <f t="shared" si="94"/>
        <v>190.00559730122677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152.63300189110146</v>
      </c>
      <c r="T112" s="62">
        <f t="shared" si="88"/>
        <v>236.66430374499453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2.8232434484610351</v>
      </c>
      <c r="AA112" s="23">
        <f>EXP(-LN(2)/25)*AA111+(1-EXP(-LN(2)/25))/(LN(2)/25)*Calculateur!V112*Calculateur!X112*VLOOKUP('Données projet'!$B$9,Paramètres!$A$1:$I$89,3,0)*0.475*44/12</f>
        <v>1.0954252637019091</v>
      </c>
      <c r="AB112" s="23">
        <f>EXP(-LN(2)/2)*AB111+(1-EXP(-LN(2)/2))/(LN(2)/2)*V112*Y112*VLOOKUP('Données projet'!$B$9,Paramètres!$A$1:$I$89,3,0)*0.475*44/12</f>
        <v>3.7647822726574073E-12</v>
      </c>
      <c r="AC112" s="24">
        <f t="shared" si="57"/>
        <v>3.918668712166709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6.8157666666666668</v>
      </c>
      <c r="AI112" s="14">
        <f>IF('Données projet'!$A$62&gt;35,AI111+AH112-AQ111,IF(A112&lt;'Données projet'!$A$62,$AF$205^A112,IF(A112='Données projet'!$A$62,'Données projet'!$B$62,AI111+AH112-AQ111)))</f>
        <v>500.44990000000024</v>
      </c>
      <c r="AJ112" s="14">
        <f>AI112*VLOOKUP('Données projet'!$B$10,Paramètres!$A$1:$I$89,3,0)*VLOOKUP('Données projet'!$B$10,Paramètres!$A$1:$I$89,5,0)</f>
        <v>546.49129080000034</v>
      </c>
      <c r="AK112" s="14">
        <f t="shared" si="89"/>
        <v>120.91512253048433</v>
      </c>
      <c r="AL112" s="22">
        <f t="shared" si="58"/>
        <v>1162.3995032172609</v>
      </c>
      <c r="AM112" s="62">
        <f t="shared" si="59"/>
        <v>1455.7328365505941</v>
      </c>
      <c r="AN112" s="62">
        <f ca="1">AVERAGE(OFFSET($AM$3,0,0,'Données projet'!$E$10+1,1))-AVERAGE(OFFSET($H$3,0,0,'Données projet'!$E$10+1,1))</f>
        <v>886.54265074144564</v>
      </c>
      <c r="AO112" s="62">
        <f t="shared" si="90"/>
        <v>254.8922423500004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1.7999999999999972</v>
      </c>
      <c r="BD112" s="13">
        <f>IF('Données projet'!$A$88&gt;35,BD111+BC112-BL111,IF(A112&lt;'Données projet'!$A$88,$BA$205^A112,IF(A112='Données projet'!$A$88,'Données projet'!$B$88,BD111+BC112-BL111)))</f>
        <v>146.90000000000003</v>
      </c>
      <c r="BE112" s="14">
        <f>BD112*VLOOKUP('Données projet'!$B$11,Paramètres!$A$1:$I$89,3,0)*VLOOKUP('Données projet'!$B$11,Paramètres!$A$1:$I$89,5,0)</f>
        <v>169.22880000000004</v>
      </c>
      <c r="BF112" s="14">
        <f t="shared" si="91"/>
        <v>42.917254759796599</v>
      </c>
      <c r="BG112" s="22">
        <f t="shared" si="61"/>
        <v>369.48771203997916</v>
      </c>
      <c r="BH112" s="62">
        <f t="shared" si="62"/>
        <v>662.82104537331247</v>
      </c>
      <c r="BI112" s="62">
        <f ca="1">AVERAGE(OFFSET($BH$3,0,0,'Données projet'!$E$11+1,1))-AVERAGE(OFFSET($H$3,0,0,'Données projet'!$E$11+1,1))</f>
        <v>165.98015798223548</v>
      </c>
      <c r="BJ112" s="62">
        <f t="shared" si="92"/>
        <v>143.97979034100706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300.11903999999964</v>
      </c>
      <c r="CA112" s="14">
        <f t="shared" si="93"/>
        <v>71.201418255837112</v>
      </c>
      <c r="CB112" s="22">
        <f t="shared" si="64"/>
        <v>646.71646479558228</v>
      </c>
      <c r="CC112" s="62">
        <f t="shared" si="65"/>
        <v>940.04979812891565</v>
      </c>
      <c r="CD112" s="62">
        <f ca="1">AVERAGE(OFFSET($CC$3,0,0,'Données projet'!$E$12+1,1))-AVERAGE(OFFSET($H$3,0,0,'Données projet'!$E$12+1,1))</f>
        <v>335.16942824912076</v>
      </c>
      <c r="CE112" s="62">
        <f t="shared" si="94"/>
        <v>190.00559730122677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152.63300189110146</v>
      </c>
      <c r="T113" s="62">
        <f t="shared" si="88"/>
        <v>236.66430374499453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2.7678813664451836</v>
      </c>
      <c r="AA113" s="23">
        <f>EXP(-LN(2)/25)*AA112+(1-EXP(-LN(2)/25))/(LN(2)/25)*Calculateur!V113*Calculateur!X113*VLOOKUP('Données projet'!$B$9,Paramètres!$A$1:$I$89,3,0)*0.475*44/12</f>
        <v>1.0654708022600694</v>
      </c>
      <c r="AB113" s="23">
        <f>EXP(-LN(2)/2)*AB112+(1-EXP(-LN(2)/2))/(LN(2)/2)*V113*Y113*VLOOKUP('Données projet'!$B$9,Paramètres!$A$1:$I$89,3,0)*0.475*44/12</f>
        <v>2.6621030746869544E-12</v>
      </c>
      <c r="AC113" s="24">
        <f t="shared" si="57"/>
        <v>3.8333521687079153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6.8157666666666668</v>
      </c>
      <c r="AI113" s="14">
        <f>IF('Données projet'!$A$62&gt;35,AI112+AH113-AQ112,IF(A113&lt;'Données projet'!$A$62,$AF$205^A113,IF(A113='Données projet'!$A$62,'Données projet'!$B$62,AI112+AH113-AQ112)))</f>
        <v>507.2656666666669</v>
      </c>
      <c r="AJ113" s="14">
        <f>AI113*VLOOKUP('Données projet'!$B$10,Paramètres!$A$1:$I$89,3,0)*VLOOKUP('Données projet'!$B$10,Paramètres!$A$1:$I$89,5,0)</f>
        <v>553.93410800000026</v>
      </c>
      <c r="AK113" s="14">
        <f t="shared" si="89"/>
        <v>122.36906690662315</v>
      </c>
      <c r="AL113" s="22">
        <f t="shared" si="58"/>
        <v>1177.8946962957023</v>
      </c>
      <c r="AM113" s="62">
        <f t="shared" si="59"/>
        <v>1471.2280296290355</v>
      </c>
      <c r="AN113" s="62">
        <f ca="1">AVERAGE(OFFSET($AM$3,0,0,'Données projet'!$E$10+1,1))-AVERAGE(OFFSET($H$3,0,0,'Données projet'!$E$10+1,1))</f>
        <v>886.54265074144564</v>
      </c>
      <c r="AO113" s="62">
        <f t="shared" si="90"/>
        <v>254.8922423500004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148.69999999999999</v>
      </c>
      <c r="BB113" s="13">
        <f>VLOOKUP(A113,'Données projet'!$A$87:$I$107,9,0)</f>
        <v>1.7999999999999972</v>
      </c>
      <c r="BC113" s="13">
        <f t="array" ref="BC113">INDEX(BB:BB,MIN(IF(ISNUMBER(BB113:BB309),ROW(BB113:BB309),"")))</f>
        <v>1.7999999999999972</v>
      </c>
      <c r="BD113" s="13">
        <f>IF('Données projet'!$A$88&gt;35,BD112+BC113-BL112,IF(A113&lt;'Données projet'!$A$88,$BA$205^A113,IF(A113='Données projet'!$A$88,'Données projet'!$B$88,BD112+BC113-BL112)))</f>
        <v>148.70000000000005</v>
      </c>
      <c r="BE113" s="14">
        <f>BD113*VLOOKUP('Données projet'!$B$11,Paramètres!$A$1:$I$89,3,0)*VLOOKUP('Données projet'!$B$11,Paramètres!$A$1:$I$89,5,0)</f>
        <v>171.30240000000003</v>
      </c>
      <c r="BF113" s="14">
        <f t="shared" si="91"/>
        <v>43.381588168657423</v>
      </c>
      <c r="BG113" s="22">
        <f t="shared" si="61"/>
        <v>373.90794606041169</v>
      </c>
      <c r="BH113" s="62">
        <f t="shared" si="62"/>
        <v>667.241279393745</v>
      </c>
      <c r="BI113" s="62">
        <f ca="1">AVERAGE(OFFSET($BH$3,0,0,'Données projet'!$E$11+1,1))-AVERAGE(OFFSET($H$3,0,0,'Données projet'!$E$11+1,1))</f>
        <v>165.98015798223548</v>
      </c>
      <c r="BJ113" s="62">
        <f t="shared" si="92"/>
        <v>143.97979034100706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13.3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304.51199999999966</v>
      </c>
      <c r="CA113" s="14">
        <f t="shared" si="93"/>
        <v>72.121528618302804</v>
      </c>
      <c r="CB113" s="22">
        <f t="shared" si="64"/>
        <v>655.97006234354342</v>
      </c>
      <c r="CC113" s="62">
        <f t="shared" si="65"/>
        <v>949.30339567687679</v>
      </c>
      <c r="CD113" s="62">
        <f ca="1">AVERAGE(OFFSET($CC$3,0,0,'Données projet'!$E$12+1,1))-AVERAGE(OFFSET($H$3,0,0,'Données projet'!$E$12+1,1))</f>
        <v>335.16942824912076</v>
      </c>
      <c r="CE113" s="62">
        <f t="shared" si="94"/>
        <v>190.00559730122677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152.63300189110146</v>
      </c>
      <c r="T114" s="62">
        <f t="shared" si="88"/>
        <v>236.66430374499453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2.7136049010901271</v>
      </c>
      <c r="AA114" s="23">
        <f>EXP(-LN(2)/25)*AA113+(1-EXP(-LN(2)/25))/(LN(2)/25)*Calculateur!V114*Calculateur!X114*VLOOKUP('Données projet'!$B$9,Paramètres!$A$1:$I$89,3,0)*0.475*44/12</f>
        <v>1.0363354471415935</v>
      </c>
      <c r="AB114" s="23">
        <f>EXP(-LN(2)/2)*AB113+(1-EXP(-LN(2)/2))/(LN(2)/2)*V114*Y114*VLOOKUP('Données projet'!$B$9,Paramètres!$A$1:$I$89,3,0)*0.475*44/12</f>
        <v>1.8823911363287036E-12</v>
      </c>
      <c r="AC114" s="24">
        <f t="shared" si="57"/>
        <v>3.7499403482336029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6.8157666666666668</v>
      </c>
      <c r="AI114" s="14">
        <f>IF('Données projet'!$A$62&gt;35,AI113+AH114-AQ113,IF(A114&lt;'Données projet'!$A$62,$AF$205^A114,IF(A114='Données projet'!$A$62,'Données projet'!$B$62,AI113+AH114-AQ113)))</f>
        <v>514.08143333333362</v>
      </c>
      <c r="AJ114" s="14">
        <f>AI114*VLOOKUP('Données projet'!$B$10,Paramètres!$A$1:$I$89,3,0)*VLOOKUP('Données projet'!$B$10,Paramètres!$A$1:$I$89,5,0)</f>
        <v>561.3769252000003</v>
      </c>
      <c r="AK114" s="14">
        <f t="shared" si="89"/>
        <v>123.82073904242542</v>
      </c>
      <c r="AL114" s="22">
        <f t="shared" si="58"/>
        <v>1193.3859318888915</v>
      </c>
      <c r="AM114" s="62">
        <f t="shared" si="59"/>
        <v>1486.7192652222247</v>
      </c>
      <c r="AN114" s="62">
        <f ca="1">AVERAGE(OFFSET($AM$3,0,0,'Données projet'!$E$10+1,1))-AVERAGE(OFFSET($H$3,0,0,'Données projet'!$E$10+1,1))</f>
        <v>886.54265074144564</v>
      </c>
      <c r="AO114" s="62">
        <f t="shared" si="90"/>
        <v>254.8922423500004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1.6700000000000017</v>
      </c>
      <c r="BD114" s="13">
        <f>IF('Données projet'!$A$88&gt;35,BD113+BC114-BL113,IF(A114&lt;'Données projet'!$A$88,$BA$205^A114,IF(A114='Données projet'!$A$88,'Données projet'!$B$88,BD113+BC114-BL113)))</f>
        <v>137.07000000000005</v>
      </c>
      <c r="BE114" s="14">
        <f>BD114*VLOOKUP('Données projet'!$B$11,Paramètres!$A$1:$I$89,3,0)*VLOOKUP('Données projet'!$B$11,Paramètres!$A$1:$I$89,5,0)</f>
        <v>157.90464000000006</v>
      </c>
      <c r="BF114" s="14">
        <f t="shared" si="91"/>
        <v>40.369539121495535</v>
      </c>
      <c r="BG114" s="22">
        <f t="shared" si="61"/>
        <v>345.32752863660477</v>
      </c>
      <c r="BH114" s="62">
        <f t="shared" si="62"/>
        <v>638.66086196993808</v>
      </c>
      <c r="BI114" s="62">
        <f ca="1">AVERAGE(OFFSET($BH$3,0,0,'Données projet'!$E$11+1,1))-AVERAGE(OFFSET($H$3,0,0,'Données projet'!$E$11+1,1))</f>
        <v>165.98015798223548</v>
      </c>
      <c r="BJ114" s="62">
        <f t="shared" si="92"/>
        <v>143.97979034100706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269.26847999999961</v>
      </c>
      <c r="CA114" s="14">
        <f t="shared" si="93"/>
        <v>64.693997776951122</v>
      </c>
      <c r="CB114" s="22">
        <f t="shared" si="64"/>
        <v>581.65131546152259</v>
      </c>
      <c r="CC114" s="62">
        <f t="shared" si="65"/>
        <v>874.98464879485596</v>
      </c>
      <c r="CD114" s="62">
        <f ca="1">AVERAGE(OFFSET($CC$3,0,0,'Données projet'!$E$12+1,1))-AVERAGE(OFFSET($H$3,0,0,'Données projet'!$E$12+1,1))</f>
        <v>335.16942824912076</v>
      </c>
      <c r="CE114" s="62">
        <f t="shared" si="94"/>
        <v>190.00559730122677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152.63300189110146</v>
      </c>
      <c r="T115" s="62">
        <f t="shared" si="88"/>
        <v>236.66430374499453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2.6603927641153082</v>
      </c>
      <c r="AA115" s="23">
        <f>EXP(-LN(2)/25)*AA114+(1-EXP(-LN(2)/25))/(LN(2)/25)*Calculateur!V115*Calculateur!X115*VLOOKUP('Données projet'!$B$9,Paramètres!$A$1:$I$89,3,0)*0.475*44/12</f>
        <v>1.007996799840994</v>
      </c>
      <c r="AB115" s="23">
        <f>EXP(-LN(2)/2)*AB114+(1-EXP(-LN(2)/2))/(LN(2)/2)*V115*Y115*VLOOKUP('Données projet'!$B$9,Paramètres!$A$1:$I$89,3,0)*0.475*44/12</f>
        <v>1.3310515373434772E-12</v>
      </c>
      <c r="AC115" s="24">
        <f t="shared" si="57"/>
        <v>3.6683895639576334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6.8157666666666668</v>
      </c>
      <c r="AI115" s="14">
        <f>IF('Données projet'!$A$62&gt;35,AI114+AH115-AQ114,IF(A115&lt;'Données projet'!$A$62,$AF$205^A115,IF(A115='Données projet'!$A$62,'Données projet'!$B$62,AI114+AH115-AQ114)))</f>
        <v>520.89720000000034</v>
      </c>
      <c r="AJ115" s="14">
        <f>AI115*VLOOKUP('Données projet'!$B$10,Paramètres!$A$1:$I$89,3,0)*VLOOKUP('Données projet'!$B$10,Paramètres!$A$1:$I$89,5,0)</f>
        <v>568.81974240000034</v>
      </c>
      <c r="AK115" s="14">
        <f t="shared" si="89"/>
        <v>125.27017254625879</v>
      </c>
      <c r="AL115" s="22">
        <f t="shared" si="58"/>
        <v>1208.8732685314012</v>
      </c>
      <c r="AM115" s="62">
        <f t="shared" si="59"/>
        <v>1502.2066018647345</v>
      </c>
      <c r="AN115" s="62">
        <f ca="1">AVERAGE(OFFSET($AM$3,0,0,'Données projet'!$E$10+1,1))-AVERAGE(OFFSET($H$3,0,0,'Données projet'!$E$10+1,1))</f>
        <v>886.54265074144564</v>
      </c>
      <c r="AO115" s="62">
        <f t="shared" si="90"/>
        <v>254.8922423500004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1.6700000000000017</v>
      </c>
      <c r="BD115" s="13">
        <f>IF('Données projet'!$A$88&gt;35,BD114+BC115-BL114,IF(A115&lt;'Données projet'!$A$88,$BA$205^A115,IF(A115='Données projet'!$A$88,'Données projet'!$B$88,BD114+BC115-BL114)))</f>
        <v>138.74000000000007</v>
      </c>
      <c r="BE115" s="14">
        <f>BD115*VLOOKUP('Données projet'!$B$11,Paramètres!$A$1:$I$89,3,0)*VLOOKUP('Données projet'!$B$11,Paramètres!$A$1:$I$89,5,0)</f>
        <v>159.82848000000007</v>
      </c>
      <c r="BF115" s="14">
        <f t="shared" si="91"/>
        <v>40.803826177277053</v>
      </c>
      <c r="BG115" s="22">
        <f t="shared" si="61"/>
        <v>349.43459992542427</v>
      </c>
      <c r="BH115" s="62">
        <f t="shared" si="62"/>
        <v>642.76793325875758</v>
      </c>
      <c r="BI115" s="62">
        <f ca="1">AVERAGE(OFFSET($BH$3,0,0,'Données projet'!$E$11+1,1))-AVERAGE(OFFSET($H$3,0,0,'Données projet'!$E$11+1,1))</f>
        <v>165.98015798223548</v>
      </c>
      <c r="BJ115" s="62">
        <f t="shared" si="92"/>
        <v>143.97979034100706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272.9625599999996</v>
      </c>
      <c r="CA115" s="14">
        <f t="shared" si="93"/>
        <v>65.477599415179213</v>
      </c>
      <c r="CB115" s="22">
        <f t="shared" si="64"/>
        <v>589.44994431476971</v>
      </c>
      <c r="CC115" s="62">
        <f t="shared" si="65"/>
        <v>882.78327764810297</v>
      </c>
      <c r="CD115" s="62">
        <f ca="1">AVERAGE(OFFSET($CC$3,0,0,'Données projet'!$E$12+1,1))-AVERAGE(OFFSET($H$3,0,0,'Données projet'!$E$12+1,1))</f>
        <v>335.16942824912076</v>
      </c>
      <c r="CE115" s="62">
        <f t="shared" si="94"/>
        <v>190.00559730122677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152.63300189110146</v>
      </c>
      <c r="T116" s="62">
        <f t="shared" si="88"/>
        <v>236.66430374499453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2.608224084690367</v>
      </c>
      <c r="AA116" s="23">
        <f>EXP(-LN(2)/25)*AA115+(1-EXP(-LN(2)/25))/(LN(2)/25)*Calculateur!V116*Calculateur!X116*VLOOKUP('Données projet'!$B$9,Paramètres!$A$1:$I$89,3,0)*0.475*44/12</f>
        <v>0.98043307434109417</v>
      </c>
      <c r="AB116" s="23">
        <f>EXP(-LN(2)/2)*AB115+(1-EXP(-LN(2)/2))/(LN(2)/2)*V116*Y116*VLOOKUP('Données projet'!$B$9,Paramètres!$A$1:$I$89,3,0)*0.475*44/12</f>
        <v>9.4119556816435182E-13</v>
      </c>
      <c r="AC116" s="24">
        <f t="shared" si="57"/>
        <v>3.5886571590324023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6.8157666666666668</v>
      </c>
      <c r="AI116" s="14">
        <f>IF('Données projet'!$A$62&gt;35,AI115+AH116-AQ115,IF(A116&lt;'Données projet'!$A$62,$AF$205^A116,IF(A116='Données projet'!$A$62,'Données projet'!$B$62,AI115+AH116-AQ115)))</f>
        <v>527.71296666666706</v>
      </c>
      <c r="AJ116" s="14">
        <f>AI116*VLOOKUP('Données projet'!$B$10,Paramètres!$A$1:$I$89,3,0)*VLOOKUP('Données projet'!$B$10,Paramètres!$A$1:$I$89,5,0)</f>
        <v>576.26255960000037</v>
      </c>
      <c r="AK116" s="14">
        <f t="shared" si="89"/>
        <v>126.71740009642414</v>
      </c>
      <c r="AL116" s="22">
        <f t="shared" si="58"/>
        <v>1224.3567631379394</v>
      </c>
      <c r="AM116" s="62">
        <f t="shared" si="59"/>
        <v>1517.6900964712727</v>
      </c>
      <c r="AN116" s="62">
        <f ca="1">AVERAGE(OFFSET($AM$3,0,0,'Données projet'!$E$10+1,1))-AVERAGE(OFFSET($H$3,0,0,'Données projet'!$E$10+1,1))</f>
        <v>886.54265074144564</v>
      </c>
      <c r="AO116" s="62">
        <f t="shared" si="90"/>
        <v>254.8922423500004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1.6700000000000017</v>
      </c>
      <c r="BD116" s="13">
        <f>IF('Données projet'!$A$88&gt;35,BD115+BC116-BL115,IF(A116&lt;'Données projet'!$A$88,$BA$205^A116,IF(A116='Données projet'!$A$88,'Données projet'!$B$88,BD115+BC116-BL115)))</f>
        <v>140.41000000000008</v>
      </c>
      <c r="BE116" s="14">
        <f>BD116*VLOOKUP('Données projet'!$B$11,Paramètres!$A$1:$I$89,3,0)*VLOOKUP('Données projet'!$B$11,Paramètres!$A$1:$I$89,5,0)</f>
        <v>161.75232000000008</v>
      </c>
      <c r="BF116" s="14">
        <f t="shared" si="91"/>
        <v>41.237505165927601</v>
      </c>
      <c r="BG116" s="22">
        <f t="shared" si="61"/>
        <v>353.54061216399072</v>
      </c>
      <c r="BH116" s="62">
        <f t="shared" si="62"/>
        <v>646.87394549732403</v>
      </c>
      <c r="BI116" s="62">
        <f ca="1">AVERAGE(OFFSET($BH$3,0,0,'Données projet'!$E$11+1,1))-AVERAGE(OFFSET($H$3,0,0,'Données projet'!$E$11+1,1))</f>
        <v>165.98015798223548</v>
      </c>
      <c r="BJ116" s="62">
        <f t="shared" si="92"/>
        <v>143.97979034100706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276.65663999999958</v>
      </c>
      <c r="CA116" s="14">
        <f t="shared" si="93"/>
        <v>66.259967597793192</v>
      </c>
      <c r="CB116" s="22">
        <f t="shared" si="64"/>
        <v>597.24642489948906</v>
      </c>
      <c r="CC116" s="62">
        <f t="shared" si="65"/>
        <v>890.57975823282231</v>
      </c>
      <c r="CD116" s="62">
        <f ca="1">AVERAGE(OFFSET($CC$3,0,0,'Données projet'!$E$12+1,1))-AVERAGE(OFFSET($H$3,0,0,'Données projet'!$E$12+1,1))</f>
        <v>335.16942824912076</v>
      </c>
      <c r="CE116" s="62">
        <f t="shared" si="94"/>
        <v>190.00559730122677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152.63300189110146</v>
      </c>
      <c r="T117" s="62">
        <f t="shared" si="88"/>
        <v>236.66430374499453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2.5570784012491963</v>
      </c>
      <c r="AA117" s="23">
        <f>EXP(-LN(2)/25)*AA116+(1-EXP(-LN(2)/25))/(LN(2)/25)*Calculateur!V117*Calculateur!X117*VLOOKUP('Données projet'!$B$9,Paramètres!$A$1:$I$89,3,0)*0.475*44/12</f>
        <v>0.95362308036450238</v>
      </c>
      <c r="AB117" s="23">
        <f>EXP(-LN(2)/2)*AB116+(1-EXP(-LN(2)/2))/(LN(2)/2)*V117*Y117*VLOOKUP('Données projet'!$B$9,Paramètres!$A$1:$I$89,3,0)*0.475*44/12</f>
        <v>6.6552576867173861E-13</v>
      </c>
      <c r="AC117" s="24">
        <f t="shared" si="57"/>
        <v>3.5107014816143645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6.8157666666666668</v>
      </c>
      <c r="AI117" s="14">
        <f>IF('Données projet'!$A$62&gt;35,AI116+AH117-AQ116,IF(A117&lt;'Données projet'!$A$62,$AF$205^A117,IF(A117='Données projet'!$A$62,'Données projet'!$B$62,AI116+AH117-AQ116)))</f>
        <v>534.52873333333378</v>
      </c>
      <c r="AJ117" s="14">
        <f>AI117*VLOOKUP('Données projet'!$B$10,Paramètres!$A$1:$I$89,3,0)*VLOOKUP('Données projet'!$B$10,Paramètres!$A$1:$I$89,5,0)</f>
        <v>583.70537680000052</v>
      </c>
      <c r="AK117" s="14">
        <f t="shared" si="89"/>
        <v>128.16245347856707</v>
      </c>
      <c r="AL117" s="22">
        <f t="shared" si="58"/>
        <v>1239.8364710685053</v>
      </c>
      <c r="AM117" s="62">
        <f t="shared" si="59"/>
        <v>1533.1698044018385</v>
      </c>
      <c r="AN117" s="62">
        <f ca="1">AVERAGE(OFFSET($AM$3,0,0,'Données projet'!$E$10+1,1))-AVERAGE(OFFSET($H$3,0,0,'Données projet'!$E$10+1,1))</f>
        <v>886.54265074144564</v>
      </c>
      <c r="AO117" s="62">
        <f t="shared" si="90"/>
        <v>254.8922423500004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1.6700000000000017</v>
      </c>
      <c r="BD117" s="13">
        <f>IF('Données projet'!$A$88&gt;35,BD116+BC117-BL116,IF(A117&lt;'Données projet'!$A$88,$BA$205^A117,IF(A117='Données projet'!$A$88,'Données projet'!$B$88,BD116+BC117-BL116)))</f>
        <v>142.0800000000001</v>
      </c>
      <c r="BE117" s="14">
        <f>BD117*VLOOKUP('Données projet'!$B$11,Paramètres!$A$1:$I$89,3,0)*VLOOKUP('Données projet'!$B$11,Paramètres!$A$1:$I$89,5,0)</f>
        <v>163.67616000000012</v>
      </c>
      <c r="BF117" s="14">
        <f t="shared" si="91"/>
        <v>41.670584156262699</v>
      </c>
      <c r="BG117" s="22">
        <f t="shared" si="61"/>
        <v>357.64557940549111</v>
      </c>
      <c r="BH117" s="62">
        <f t="shared" si="62"/>
        <v>650.97891273882442</v>
      </c>
      <c r="BI117" s="62">
        <f ca="1">AVERAGE(OFFSET($BH$3,0,0,'Données projet'!$E$11+1,1))-AVERAGE(OFFSET($H$3,0,0,'Données projet'!$E$11+1,1))</f>
        <v>165.98015798223548</v>
      </c>
      <c r="BJ117" s="62">
        <f t="shared" si="92"/>
        <v>143.97979034100706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280.35071999999957</v>
      </c>
      <c r="CA117" s="14">
        <f t="shared" si="93"/>
        <v>67.041120698511705</v>
      </c>
      <c r="CB117" s="22">
        <f t="shared" si="64"/>
        <v>605.04078921657378</v>
      </c>
      <c r="CC117" s="62">
        <f t="shared" si="65"/>
        <v>898.37412254990704</v>
      </c>
      <c r="CD117" s="62">
        <f ca="1">AVERAGE(OFFSET($CC$3,0,0,'Données projet'!$E$12+1,1))-AVERAGE(OFFSET($H$3,0,0,'Données projet'!$E$12+1,1))</f>
        <v>335.16942824912076</v>
      </c>
      <c r="CE117" s="62">
        <f t="shared" si="94"/>
        <v>190.00559730122677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152.63300189110146</v>
      </c>
      <c r="T118" s="62">
        <f t="shared" si="88"/>
        <v>236.66430374499453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2.5069356534645202</v>
      </c>
      <c r="AA118" s="23">
        <f>EXP(-LN(2)/25)*AA117+(1-EXP(-LN(2)/25))/(LN(2)/25)*Calculateur!V118*Calculateur!X118*VLOOKUP('Données projet'!$B$9,Paramètres!$A$1:$I$89,3,0)*0.475*44/12</f>
        <v>0.92754620708307678</v>
      </c>
      <c r="AB118" s="23">
        <f>EXP(-LN(2)/2)*AB117+(1-EXP(-LN(2)/2))/(LN(2)/2)*V118*Y118*VLOOKUP('Données projet'!$B$9,Paramètres!$A$1:$I$89,3,0)*0.475*44/12</f>
        <v>4.7059778408217591E-13</v>
      </c>
      <c r="AC118" s="24">
        <f t="shared" si="57"/>
        <v>3.4344818605480678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6.8157666666666668</v>
      </c>
      <c r="AI118" s="14">
        <f>IF('Données projet'!$A$62&gt;35,AI117+AH118-AQ117,IF(A118&lt;'Données projet'!$A$62,$AF$205^A118,IF(A118='Données projet'!$A$62,'Données projet'!$B$62,AI117+AH118-AQ117)))</f>
        <v>541.34450000000049</v>
      </c>
      <c r="AJ118" s="14">
        <f>AI118*VLOOKUP('Données projet'!$B$10,Paramètres!$A$1:$I$89,3,0)*VLOOKUP('Données projet'!$B$10,Paramètres!$A$1:$I$89,5,0)</f>
        <v>591.14819400000056</v>
      </c>
      <c r="AK118" s="14">
        <f t="shared" si="89"/>
        <v>129.60536362112725</v>
      </c>
      <c r="AL118" s="22">
        <f t="shared" si="58"/>
        <v>1255.3124461901309</v>
      </c>
      <c r="AM118" s="62">
        <f t="shared" si="59"/>
        <v>1548.6457795234642</v>
      </c>
      <c r="AN118" s="62">
        <f ca="1">AVERAGE(OFFSET($AM$3,0,0,'Données projet'!$E$10+1,1))-AVERAGE(OFFSET($H$3,0,0,'Données projet'!$E$10+1,1))</f>
        <v>886.54265074144564</v>
      </c>
      <c r="AO118" s="62">
        <f t="shared" si="90"/>
        <v>254.8922423500004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1.6700000000000017</v>
      </c>
      <c r="BD118" s="13">
        <f>IF('Données projet'!$A$88&gt;35,BD117+BC118-BL117,IF(A118&lt;'Données projet'!$A$88,$BA$205^A118,IF(A118='Données projet'!$A$88,'Données projet'!$B$88,BD117+BC118-BL117)))</f>
        <v>143.75000000000011</v>
      </c>
      <c r="BE118" s="14">
        <f>BD118*VLOOKUP('Données projet'!$B$11,Paramètres!$A$1:$I$89,3,0)*VLOOKUP('Données projet'!$B$11,Paramètres!$A$1:$I$89,5,0)</f>
        <v>165.60000000000014</v>
      </c>
      <c r="BF118" s="14">
        <f t="shared" si="91"/>
        <v>42.103071016501126</v>
      </c>
      <c r="BG118" s="22">
        <f t="shared" si="61"/>
        <v>361.7495153537397</v>
      </c>
      <c r="BH118" s="62">
        <f t="shared" si="62"/>
        <v>655.08284868707301</v>
      </c>
      <c r="BI118" s="62">
        <f ca="1">AVERAGE(OFFSET($BH$3,0,0,'Données projet'!$E$11+1,1))-AVERAGE(OFFSET($H$3,0,0,'Données projet'!$E$11+1,1))</f>
        <v>165.98015798223548</v>
      </c>
      <c r="BJ118" s="62">
        <f t="shared" si="92"/>
        <v>143.97979034100706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284.04479999999955</v>
      </c>
      <c r="CA118" s="14">
        <f t="shared" si="93"/>
        <v>67.821076579013564</v>
      </c>
      <c r="CB118" s="22">
        <f t="shared" si="64"/>
        <v>612.83306837511452</v>
      </c>
      <c r="CC118" s="62">
        <f t="shared" si="65"/>
        <v>906.16640170844789</v>
      </c>
      <c r="CD118" s="62">
        <f ca="1">AVERAGE(OFFSET($CC$3,0,0,'Données projet'!$E$12+1,1))-AVERAGE(OFFSET($H$3,0,0,'Données projet'!$E$12+1,1))</f>
        <v>335.16942824912076</v>
      </c>
      <c r="CE118" s="62">
        <f t="shared" si="94"/>
        <v>190.00559730122677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152.63300189110146</v>
      </c>
      <c r="T119" s="62">
        <f t="shared" si="88"/>
        <v>236.66430374499453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2.4577761743798456</v>
      </c>
      <c r="AA119" s="23">
        <f>EXP(-LN(2)/25)*AA118+(1-EXP(-LN(2)/25))/(LN(2)/25)*Calculateur!V119*Calculateur!X119*VLOOKUP('Données projet'!$B$9,Paramètres!$A$1:$I$89,3,0)*0.475*44/12</f>
        <v>0.90218240727285492</v>
      </c>
      <c r="AB119" s="23">
        <f>EXP(-LN(2)/2)*AB118+(1-EXP(-LN(2)/2))/(LN(2)/2)*V119*Y119*VLOOKUP('Données projet'!$B$9,Paramètres!$A$1:$I$89,3,0)*0.475*44/12</f>
        <v>3.3276288433586931E-13</v>
      </c>
      <c r="AC119" s="24">
        <f t="shared" si="57"/>
        <v>3.3599585816530331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6.8157666666666668</v>
      </c>
      <c r="AI119" s="14">
        <f>IF('Données projet'!$A$62&gt;35,AI118+AH119-AQ118,IF(A119&lt;'Données projet'!$A$62,$AF$205^A119,IF(A119='Données projet'!$A$62,'Données projet'!$B$62,AI118+AH119-AQ118)))</f>
        <v>548.16026666666721</v>
      </c>
      <c r="AJ119" s="14">
        <f>AI119*VLOOKUP('Données projet'!$B$10,Paramètres!$A$1:$I$89,3,0)*VLOOKUP('Données projet'!$B$10,Paramètres!$A$1:$I$89,5,0)</f>
        <v>598.59101120000059</v>
      </c>
      <c r="AK119" s="14">
        <f t="shared" si="89"/>
        <v>131.04616062895136</v>
      </c>
      <c r="AL119" s="22">
        <f t="shared" si="58"/>
        <v>1270.7847409354247</v>
      </c>
      <c r="AM119" s="62">
        <f t="shared" si="59"/>
        <v>1564.1180742687579</v>
      </c>
      <c r="AN119" s="62">
        <f ca="1">AVERAGE(OFFSET($AM$3,0,0,'Données projet'!$E$10+1,1))-AVERAGE(OFFSET($H$3,0,0,'Données projet'!$E$10+1,1))</f>
        <v>886.54265074144564</v>
      </c>
      <c r="AO119" s="62">
        <f t="shared" si="90"/>
        <v>254.8922423500004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1.6700000000000017</v>
      </c>
      <c r="BD119" s="13">
        <f>IF('Données projet'!$A$88&gt;35,BD118+BC119-BL118,IF(A119&lt;'Données projet'!$A$88,$BA$205^A119,IF(A119='Données projet'!$A$88,'Données projet'!$B$88,BD118+BC119-BL118)))</f>
        <v>145.42000000000013</v>
      </c>
      <c r="BE119" s="14">
        <f>BD119*VLOOKUP('Données projet'!$B$11,Paramètres!$A$1:$I$89,3,0)*VLOOKUP('Données projet'!$B$11,Paramètres!$A$1:$I$89,5,0)</f>
        <v>167.52384000000015</v>
      </c>
      <c r="BF119" s="14">
        <f t="shared" si="91"/>
        <v>42.534973421523318</v>
      </c>
      <c r="BG119" s="22">
        <f t="shared" si="61"/>
        <v>365.85243337582006</v>
      </c>
      <c r="BH119" s="62">
        <f t="shared" si="62"/>
        <v>659.18576670915331</v>
      </c>
      <c r="BI119" s="62">
        <f ca="1">AVERAGE(OFFSET($BH$3,0,0,'Données projet'!$E$11+1,1))-AVERAGE(OFFSET($H$3,0,0,'Données projet'!$E$11+1,1))</f>
        <v>165.98015798223548</v>
      </c>
      <c r="BJ119" s="62">
        <f t="shared" si="92"/>
        <v>143.97979034100706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287.73887999999954</v>
      </c>
      <c r="CA119" s="14">
        <f t="shared" si="93"/>
        <v>68.599852609676915</v>
      </c>
      <c r="CB119" s="22">
        <f t="shared" si="64"/>
        <v>620.62329262851983</v>
      </c>
      <c r="CC119" s="62">
        <f t="shared" si="65"/>
        <v>913.95662596185321</v>
      </c>
      <c r="CD119" s="62">
        <f ca="1">AVERAGE(OFFSET($CC$3,0,0,'Données projet'!$E$12+1,1))-AVERAGE(OFFSET($H$3,0,0,'Données projet'!$E$12+1,1))</f>
        <v>335.16942824912076</v>
      </c>
      <c r="CE119" s="62">
        <f t="shared" si="94"/>
        <v>190.00559730122677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152.63300189110146</v>
      </c>
      <c r="T120" s="62">
        <f t="shared" si="88"/>
        <v>236.66430374499453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2.4095806826957</v>
      </c>
      <c r="AA120" s="23">
        <f>EXP(-LN(2)/25)*AA119+(1-EXP(-LN(2)/25))/(LN(2)/25)*Calculateur!V120*Calculateur!X120*VLOOKUP('Données projet'!$B$9,Paramètres!$A$1:$I$89,3,0)*0.475*44/12</f>
        <v>0.87751218190226787</v>
      </c>
      <c r="AB120" s="23">
        <f>EXP(-LN(2)/2)*AB119+(1-EXP(-LN(2)/2))/(LN(2)/2)*V120*Y120*VLOOKUP('Données projet'!$B$9,Paramètres!$A$1:$I$89,3,0)*0.475*44/12</f>
        <v>2.3529889204108795E-13</v>
      </c>
      <c r="AC120" s="24">
        <f t="shared" si="57"/>
        <v>3.2870928645982032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6.8157666666666668</v>
      </c>
      <c r="AI120" s="14">
        <f>IF('Données projet'!$A$62&gt;35,AI119+AH120-AQ119,IF(A120&lt;'Données projet'!$A$62,$AF$205^A120,IF(A120='Données projet'!$A$62,'Données projet'!$B$62,AI119+AH120-AQ119)))</f>
        <v>554.97603333333393</v>
      </c>
      <c r="AJ120" s="14">
        <f>AI120*VLOOKUP('Données projet'!$B$10,Paramètres!$A$1:$I$89,3,0)*VLOOKUP('Données projet'!$B$10,Paramètres!$A$1:$I$89,5,0)</f>
        <v>606.03382840000063</v>
      </c>
      <c r="AK120" s="14">
        <f t="shared" si="89"/>
        <v>132.48487381518612</v>
      </c>
      <c r="AL120" s="22">
        <f t="shared" si="58"/>
        <v>1286.2534063581168</v>
      </c>
      <c r="AM120" s="62">
        <f t="shared" si="59"/>
        <v>1579.58673969145</v>
      </c>
      <c r="AN120" s="62">
        <f ca="1">AVERAGE(OFFSET($AM$3,0,0,'Données projet'!$E$10+1,1))-AVERAGE(OFFSET($H$3,0,0,'Données projet'!$E$10+1,1))</f>
        <v>886.54265074144564</v>
      </c>
      <c r="AO120" s="62">
        <f t="shared" si="90"/>
        <v>254.8922423500004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1.6700000000000017</v>
      </c>
      <c r="BD120" s="13">
        <f>IF('Données projet'!$A$88&gt;35,BD119+BC120-BL119,IF(A120&lt;'Données projet'!$A$88,$BA$205^A120,IF(A120='Données projet'!$A$88,'Données projet'!$B$88,BD119+BC120-BL119)))</f>
        <v>147.09000000000015</v>
      </c>
      <c r="BE120" s="14">
        <f>BD120*VLOOKUP('Données projet'!$B$11,Paramètres!$A$1:$I$89,3,0)*VLOOKUP('Données projet'!$B$11,Paramètres!$A$1:$I$89,5,0)</f>
        <v>169.44768000000016</v>
      </c>
      <c r="BF120" s="14">
        <f t="shared" si="91"/>
        <v>42.96629885978642</v>
      </c>
      <c r="BG120" s="22">
        <f t="shared" si="61"/>
        <v>369.95434651412825</v>
      </c>
      <c r="BH120" s="62">
        <f t="shared" si="62"/>
        <v>663.2876798474615</v>
      </c>
      <c r="BI120" s="62">
        <f ca="1">AVERAGE(OFFSET($BH$3,0,0,'Données projet'!$E$11+1,1))-AVERAGE(OFFSET($H$3,0,0,'Données projet'!$E$11+1,1))</f>
        <v>165.98015798223548</v>
      </c>
      <c r="BJ120" s="62">
        <f t="shared" si="92"/>
        <v>143.97979034100706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291.43295999999953</v>
      </c>
      <c r="CA120" s="14">
        <f t="shared" si="93"/>
        <v>69.377465689223371</v>
      </c>
      <c r="CB120" s="22">
        <f t="shared" si="64"/>
        <v>628.41149140872983</v>
      </c>
      <c r="CC120" s="62">
        <f t="shared" si="65"/>
        <v>921.7448247420632</v>
      </c>
      <c r="CD120" s="62">
        <f ca="1">AVERAGE(OFFSET($CC$3,0,0,'Données projet'!$E$12+1,1))-AVERAGE(OFFSET($H$3,0,0,'Données projet'!$E$12+1,1))</f>
        <v>335.16942824912076</v>
      </c>
      <c r="CE120" s="62">
        <f t="shared" si="94"/>
        <v>190.00559730122677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152.63300189110146</v>
      </c>
      <c r="T121" s="62">
        <f t="shared" si="88"/>
        <v>236.66430374499453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2.3623302752071331</v>
      </c>
      <c r="AA121" s="23">
        <f>EXP(-LN(2)/25)*AA120+(1-EXP(-LN(2)/25))/(LN(2)/25)*Calculateur!V121*Calculateur!X121*VLOOKUP('Données projet'!$B$9,Paramètres!$A$1:$I$89,3,0)*0.475*44/12</f>
        <v>0.85351656514179031</v>
      </c>
      <c r="AB121" s="23">
        <f>EXP(-LN(2)/2)*AB120+(1-EXP(-LN(2)/2))/(LN(2)/2)*V121*Y121*VLOOKUP('Données projet'!$B$9,Paramètres!$A$1:$I$89,3,0)*0.475*44/12</f>
        <v>1.6638144216793465E-13</v>
      </c>
      <c r="AC121" s="24">
        <f t="shared" si="57"/>
        <v>3.2158468403490899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6.8157666666666668</v>
      </c>
      <c r="AI121" s="14">
        <f>IF('Données projet'!$A$62&gt;35,AI120+AH121-AQ120,IF(A121&lt;'Données projet'!$A$62,$AF$205^A121,IF(A121='Données projet'!$A$62,'Données projet'!$B$62,AI120+AH121-AQ120)))</f>
        <v>561.79180000000065</v>
      </c>
      <c r="AJ121" s="14">
        <f>AI121*VLOOKUP('Données projet'!$B$10,Paramètres!$A$1:$I$89,3,0)*VLOOKUP('Données projet'!$B$10,Paramètres!$A$1:$I$89,5,0)</f>
        <v>613.47664560000067</v>
      </c>
      <c r="AK121" s="14">
        <f t="shared" si="89"/>
        <v>133.92153173156103</v>
      </c>
      <c r="AL121" s="22">
        <f t="shared" si="58"/>
        <v>1301.7184921858031</v>
      </c>
      <c r="AM121" s="62">
        <f t="shared" si="59"/>
        <v>1595.0518255191364</v>
      </c>
      <c r="AN121" s="62">
        <f ca="1">AVERAGE(OFFSET($AM$3,0,0,'Données projet'!$E$10+1,1))-AVERAGE(OFFSET($H$3,0,0,'Données projet'!$E$10+1,1))</f>
        <v>886.54265074144564</v>
      </c>
      <c r="AO121" s="62">
        <f t="shared" si="90"/>
        <v>254.8922423500004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1.6700000000000017</v>
      </c>
      <c r="BD121" s="13">
        <f>IF('Données projet'!$A$88&gt;35,BD120+BC121-BL120,IF(A121&lt;'Données projet'!$A$88,$BA$205^A121,IF(A121='Données projet'!$A$88,'Données projet'!$B$88,BD120+BC121-BL120)))</f>
        <v>148.76000000000016</v>
      </c>
      <c r="BE121" s="14">
        <f>BD121*VLOOKUP('Données projet'!$B$11,Paramètres!$A$1:$I$89,3,0)*VLOOKUP('Données projet'!$B$11,Paramètres!$A$1:$I$89,5,0)</f>
        <v>171.37152000000017</v>
      </c>
      <c r="BF121" s="14">
        <f t="shared" si="91"/>
        <v>43.397054639916831</v>
      </c>
      <c r="BG121" s="22">
        <f t="shared" si="61"/>
        <v>374.05526749785537</v>
      </c>
      <c r="BH121" s="62">
        <f t="shared" si="62"/>
        <v>667.38860083118868</v>
      </c>
      <c r="BI121" s="62">
        <f ca="1">AVERAGE(OFFSET($BH$3,0,0,'Données projet'!$E$11+1,1))-AVERAGE(OFFSET($H$3,0,0,'Données projet'!$E$11+1,1))</f>
        <v>165.98015798223548</v>
      </c>
      <c r="BJ121" s="62">
        <f t="shared" si="92"/>
        <v>143.97979034100706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295.12703999999951</v>
      </c>
      <c r="CA121" s="14">
        <f t="shared" si="93"/>
        <v>70.15393226333768</v>
      </c>
      <c r="CB121" s="22">
        <f t="shared" si="64"/>
        <v>636.19769335864555</v>
      </c>
      <c r="CC121" s="62">
        <f t="shared" si="65"/>
        <v>929.53102669197892</v>
      </c>
      <c r="CD121" s="62">
        <f ca="1">AVERAGE(OFFSET($CC$3,0,0,'Données projet'!$E$12+1,1))-AVERAGE(OFFSET($H$3,0,0,'Données projet'!$E$12+1,1))</f>
        <v>335.16942824912076</v>
      </c>
      <c r="CE121" s="62">
        <f t="shared" si="94"/>
        <v>190.00559730122677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152.63300189110146</v>
      </c>
      <c r="T122" s="62">
        <f t="shared" si="88"/>
        <v>236.66430374499453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2.316006419389514</v>
      </c>
      <c r="AA122" s="23">
        <f>EXP(-LN(2)/25)*AA121+(1-EXP(-LN(2)/25))/(LN(2)/25)*Calculateur!V122*Calculateur!X122*VLOOKUP('Données projet'!$B$9,Paramètres!$A$1:$I$89,3,0)*0.475*44/12</f>
        <v>0.83017710978350268</v>
      </c>
      <c r="AB122" s="23">
        <f>EXP(-LN(2)/2)*AB121+(1-EXP(-LN(2)/2))/(LN(2)/2)*V122*Y122*VLOOKUP('Données projet'!$B$9,Paramètres!$A$1:$I$89,3,0)*0.475*44/12</f>
        <v>1.1764944602054398E-13</v>
      </c>
      <c r="AC122" s="24">
        <f t="shared" si="57"/>
        <v>3.1461835291731344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6.8157666666666668</v>
      </c>
      <c r="AI122" s="14">
        <f>IF('Données projet'!$A$62&gt;35,AI121+AH122-AQ121,IF(A122&lt;'Données projet'!$A$62,$AF$205^A122,IF(A122='Données projet'!$A$62,'Données projet'!$B$62,AI121+AH122-AQ121)))</f>
        <v>568.60756666666737</v>
      </c>
      <c r="AJ122" s="14">
        <f>AI122*VLOOKUP('Données projet'!$B$10,Paramètres!$A$1:$I$89,3,0)*VLOOKUP('Données projet'!$B$10,Paramètres!$A$1:$I$89,5,0)</f>
        <v>620.91946280000082</v>
      </c>
      <c r="AK122" s="14">
        <f t="shared" si="89"/>
        <v>135.35616219715911</v>
      </c>
      <c r="AL122" s="22">
        <f t="shared" si="58"/>
        <v>1317.1800468700533</v>
      </c>
      <c r="AM122" s="62">
        <f t="shared" si="59"/>
        <v>1610.5133802033865</v>
      </c>
      <c r="AN122" s="62">
        <f ca="1">AVERAGE(OFFSET($AM$3,0,0,'Données projet'!$E$10+1,1))-AVERAGE(OFFSET($H$3,0,0,'Données projet'!$E$10+1,1))</f>
        <v>886.54265074144564</v>
      </c>
      <c r="AO122" s="62">
        <f t="shared" si="90"/>
        <v>254.8922423500004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1.6700000000000017</v>
      </c>
      <c r="BD122" s="13">
        <f>IF('Données projet'!$A$88&gt;35,BD121+BC122-BL121,IF(A122&lt;'Données projet'!$A$88,$BA$205^A122,IF(A122='Données projet'!$A$88,'Données projet'!$B$88,BD121+BC122-BL121)))</f>
        <v>150.43000000000018</v>
      </c>
      <c r="BE122" s="14">
        <f>BD122*VLOOKUP('Données projet'!$B$11,Paramètres!$A$1:$I$89,3,0)*VLOOKUP('Données projet'!$B$11,Paramètres!$A$1:$I$89,5,0)</f>
        <v>173.29536000000022</v>
      </c>
      <c r="BF122" s="14">
        <f t="shared" si="91"/>
        <v>43.827247896997797</v>
      </c>
      <c r="BG122" s="22">
        <f t="shared" si="61"/>
        <v>378.15520875393821</v>
      </c>
      <c r="BH122" s="62">
        <f t="shared" si="62"/>
        <v>671.48854208727153</v>
      </c>
      <c r="BI122" s="62">
        <f ca="1">AVERAGE(OFFSET($BH$3,0,0,'Données projet'!$E$11+1,1))-AVERAGE(OFFSET($H$3,0,0,'Données projet'!$E$11+1,1))</f>
        <v>165.98015798223548</v>
      </c>
      <c r="BJ122" s="62">
        <f t="shared" si="92"/>
        <v>143.97979034100706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298.8211199999995</v>
      </c>
      <c r="CA122" s="14">
        <f t="shared" si="93"/>
        <v>70.929268342328726</v>
      </c>
      <c r="CB122" s="22">
        <f t="shared" si="64"/>
        <v>643.98192636288832</v>
      </c>
      <c r="CC122" s="62">
        <f t="shared" si="65"/>
        <v>937.31525969622157</v>
      </c>
      <c r="CD122" s="62">
        <f ca="1">AVERAGE(OFFSET($CC$3,0,0,'Données projet'!$E$12+1,1))-AVERAGE(OFFSET($H$3,0,0,'Données projet'!$E$12+1,1))</f>
        <v>335.16942824912076</v>
      </c>
      <c r="CE122" s="62">
        <f t="shared" si="94"/>
        <v>190.00559730122677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152.63300189110146</v>
      </c>
      <c r="T123" s="62">
        <f t="shared" si="88"/>
        <v>236.66430374499453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2.2705909461297162</v>
      </c>
      <c r="AA123" s="23">
        <f>EXP(-LN(2)/25)*AA122+(1-EXP(-LN(2)/25))/(LN(2)/25)*Calculateur!V123*Calculateur!X123*VLOOKUP('Données projet'!$B$9,Paramètres!$A$1:$I$89,3,0)*0.475*44/12</f>
        <v>0.80747587305935598</v>
      </c>
      <c r="AB123" s="23">
        <f>EXP(-LN(2)/2)*AB122+(1-EXP(-LN(2)/2))/(LN(2)/2)*V123*Y123*VLOOKUP('Données projet'!$B$9,Paramètres!$A$1:$I$89,3,0)*0.475*44/12</f>
        <v>8.3190721083967326E-14</v>
      </c>
      <c r="AC123" s="24">
        <f t="shared" si="57"/>
        <v>3.0780668191891554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6.8157666666666668</v>
      </c>
      <c r="AI123" s="14">
        <f>IF('Données projet'!$A$62&gt;35,AI122+AH123-AQ122,IF(A123&lt;'Données projet'!$A$62,$AF$205^A123,IF(A123='Données projet'!$A$62,'Données projet'!$B$62,AI122+AH123-AQ122)))</f>
        <v>575.42333333333409</v>
      </c>
      <c r="AJ123" s="14">
        <f>AI123*VLOOKUP('Données projet'!$B$10,Paramètres!$A$1:$I$89,3,0)*VLOOKUP('Données projet'!$B$10,Paramètres!$A$1:$I$89,5,0)</f>
        <v>628.36228000000085</v>
      </c>
      <c r="AK123" s="14">
        <f t="shared" si="89"/>
        <v>136.78879232576821</v>
      </c>
      <c r="AL123" s="22">
        <f t="shared" si="58"/>
        <v>1332.6381176340476</v>
      </c>
      <c r="AM123" s="62">
        <f t="shared" si="59"/>
        <v>1625.9714509673809</v>
      </c>
      <c r="AN123" s="62">
        <f ca="1">AVERAGE(OFFSET($AM$3,0,0,'Données projet'!$E$10+1,1))-AVERAGE(OFFSET($H$3,0,0,'Données projet'!$E$10+1,1))</f>
        <v>886.54265074144564</v>
      </c>
      <c r="AO123" s="62">
        <f t="shared" si="90"/>
        <v>254.8922423500004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152.1</v>
      </c>
      <c r="BB123" s="13">
        <f>VLOOKUP(A123,'Données projet'!$A$87:$I$107,9,0)</f>
        <v>1.6700000000000017</v>
      </c>
      <c r="BC123" s="13">
        <f t="array" ref="BC123">INDEX(BB:BB,MIN(IF(ISNUMBER(BB123:BB319),ROW(BB123:BB319),"")))</f>
        <v>1.6700000000000017</v>
      </c>
      <c r="BD123" s="13">
        <f>IF('Données projet'!$A$88&gt;35,BD122+BC123-BL122,IF(A123&lt;'Données projet'!$A$88,$BA$205^A123,IF(A123='Données projet'!$A$88,'Données projet'!$B$88,BD122+BC123-BL122)))</f>
        <v>152.10000000000019</v>
      </c>
      <c r="BE123" s="14">
        <f>BD123*VLOOKUP('Données projet'!$B$11,Paramètres!$A$1:$I$89,3,0)*VLOOKUP('Données projet'!$B$11,Paramètres!$A$1:$I$89,5,0)</f>
        <v>175.21920000000023</v>
      </c>
      <c r="BF123" s="14">
        <f t="shared" si="91"/>
        <v>44.256885598570243</v>
      </c>
      <c r="BG123" s="22">
        <f t="shared" si="61"/>
        <v>382.25418241751021</v>
      </c>
      <c r="BH123" s="62">
        <f t="shared" si="62"/>
        <v>675.58751575084352</v>
      </c>
      <c r="BI123" s="62">
        <f ca="1">AVERAGE(OFFSET($BH$3,0,0,'Données projet'!$E$11+1,1))-AVERAGE(OFFSET($H$3,0,0,'Données projet'!$E$11+1,1))</f>
        <v>165.98015798223548</v>
      </c>
      <c r="BJ123" s="62">
        <f t="shared" si="92"/>
        <v>143.97979034100706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12.9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302.51519999999948</v>
      </c>
      <c r="CA123" s="14">
        <f t="shared" si="93"/>
        <v>71.703489517892137</v>
      </c>
      <c r="CB123" s="22">
        <f t="shared" si="64"/>
        <v>651.76421757699461</v>
      </c>
      <c r="CC123" s="62">
        <f t="shared" si="65"/>
        <v>945.09755091032798</v>
      </c>
      <c r="CD123" s="62">
        <f ca="1">AVERAGE(OFFSET($CC$3,0,0,'Données projet'!$E$12+1,1))-AVERAGE(OFFSET($H$3,0,0,'Données projet'!$E$12+1,1))</f>
        <v>335.16942824912076</v>
      </c>
      <c r="CE123" s="62">
        <f t="shared" si="94"/>
        <v>190.00559730122677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152.63300189110146</v>
      </c>
      <c r="T124" s="62">
        <f t="shared" si="88"/>
        <v>236.66430374499453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2.22606604259984</v>
      </c>
      <c r="AA124" s="23">
        <f>EXP(-LN(2)/25)*AA123+(1-EXP(-LN(2)/25))/(LN(2)/25)*Calculateur!V124*Calculateur!X124*VLOOKUP('Données projet'!$B$9,Paramètres!$A$1:$I$89,3,0)*0.475*44/12</f>
        <v>0.78539540284723719</v>
      </c>
      <c r="AB124" s="23">
        <f>EXP(-LN(2)/2)*AB123+(1-EXP(-LN(2)/2))/(LN(2)/2)*V124*Y124*VLOOKUP('Données projet'!$B$9,Paramètres!$A$1:$I$89,3,0)*0.475*44/12</f>
        <v>5.8824723010271989E-14</v>
      </c>
      <c r="AC124" s="24">
        <f t="shared" si="57"/>
        <v>3.0114614454471358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6.8157666666666668</v>
      </c>
      <c r="AI124" s="14">
        <f>IF('Données projet'!$A$62&gt;35,AI123+AH124-AQ123,IF(A124&lt;'Données projet'!$A$62,$AF$205^A124,IF(A124='Données projet'!$A$62,'Données projet'!$B$62,AI123+AH124-AQ123)))</f>
        <v>582.2391000000008</v>
      </c>
      <c r="AJ124" s="14">
        <f>AI124*VLOOKUP('Données projet'!$B$10,Paramètres!$A$1:$I$89,3,0)*VLOOKUP('Données projet'!$B$10,Paramètres!$A$1:$I$89,5,0)</f>
        <v>635.80509720000089</v>
      </c>
      <c r="AK124" s="14">
        <f t="shared" si="89"/>
        <v>138.21944855190105</v>
      </c>
      <c r="AL124" s="22">
        <f t="shared" si="58"/>
        <v>1348.0927505178959</v>
      </c>
      <c r="AM124" s="62">
        <f t="shared" si="59"/>
        <v>1641.4260838512291</v>
      </c>
      <c r="AN124" s="62">
        <f ca="1">AVERAGE(OFFSET($AM$3,0,0,'Données projet'!$E$10+1,1))-AVERAGE(OFFSET($H$3,0,0,'Données projet'!$E$10+1,1))</f>
        <v>886.54265074144564</v>
      </c>
      <c r="AO124" s="62">
        <f t="shared" si="90"/>
        <v>254.8922423500004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1.5600000000000023</v>
      </c>
      <c r="BD124" s="13">
        <f>IF('Données projet'!$A$88&gt;35,BD123+BC124-BL123,IF(A124&lt;'Données projet'!$A$88,$BA$205^A124,IF(A124='Données projet'!$A$88,'Données projet'!$B$88,BD123+BC124-BL123)))</f>
        <v>140.76000000000019</v>
      </c>
      <c r="BE124" s="14">
        <f>BD124*VLOOKUP('Données projet'!$B$11,Paramètres!$A$1:$I$89,3,0)*VLOOKUP('Données projet'!$B$11,Paramètres!$A$1:$I$89,5,0)</f>
        <v>162.15552000000022</v>
      </c>
      <c r="BF124" s="14">
        <f t="shared" si="91"/>
        <v>41.328319654940422</v>
      </c>
      <c r="BG124" s="22">
        <f t="shared" si="61"/>
        <v>354.40102073235494</v>
      </c>
      <c r="BH124" s="62">
        <f t="shared" si="62"/>
        <v>647.73435406568819</v>
      </c>
      <c r="BI124" s="62">
        <f ca="1">AVERAGE(OFFSET($BH$3,0,0,'Données projet'!$E$11+1,1))-AVERAGE(OFFSET($H$3,0,0,'Données projet'!$E$11+1,1))</f>
        <v>165.98015798223548</v>
      </c>
      <c r="BJ124" s="62">
        <f t="shared" si="92"/>
        <v>143.97979034100706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270.76607999999948</v>
      </c>
      <c r="CA124" s="14">
        <f t="shared" si="93"/>
        <v>65.011823979165243</v>
      </c>
      <c r="CB124" s="22">
        <f t="shared" si="64"/>
        <v>584.81318276371178</v>
      </c>
      <c r="CC124" s="62">
        <f t="shared" si="65"/>
        <v>878.14651609704515</v>
      </c>
      <c r="CD124" s="62">
        <f ca="1">AVERAGE(OFFSET($CC$3,0,0,'Données projet'!$E$12+1,1))-AVERAGE(OFFSET($H$3,0,0,'Données projet'!$E$12+1,1))</f>
        <v>335.16942824912076</v>
      </c>
      <c r="CE124" s="62">
        <f t="shared" si="94"/>
        <v>190.00559730122677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152.63300189110146</v>
      </c>
      <c r="T125" s="62">
        <f t="shared" si="88"/>
        <v>236.66430374499453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2.182414245270675</v>
      </c>
      <c r="AA125" s="23">
        <f>EXP(-LN(2)/25)*AA124+(1-EXP(-LN(2)/25))/(LN(2)/25)*Calculateur!V125*Calculateur!X125*VLOOKUP('Données projet'!$B$9,Paramètres!$A$1:$I$89,3,0)*0.475*44/12</f>
        <v>0.76391872425423035</v>
      </c>
      <c r="AB125" s="23">
        <f>EXP(-LN(2)/2)*AB124+(1-EXP(-LN(2)/2))/(LN(2)/2)*V125*Y125*VLOOKUP('Données projet'!$B$9,Paramètres!$A$1:$I$89,3,0)*0.475*44/12</f>
        <v>4.1595360541983663E-14</v>
      </c>
      <c r="AC125" s="24">
        <f t="shared" si="57"/>
        <v>2.9463329695249469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6.8157666666666668</v>
      </c>
      <c r="AI125" s="14">
        <f>IF('Données projet'!$A$62&gt;35,AI124+AH125-AQ124,IF(A125&lt;'Données projet'!$A$62,$AF$205^A125,IF(A125='Données projet'!$A$62,'Données projet'!$B$62,AI124+AH125-AQ124)))</f>
        <v>589.05486666666752</v>
      </c>
      <c r="AJ125" s="14">
        <f>AI125*VLOOKUP('Données projet'!$B$10,Paramètres!$A$1:$I$89,3,0)*VLOOKUP('Données projet'!$B$10,Paramètres!$A$1:$I$89,5,0)</f>
        <v>643.24791440000092</v>
      </c>
      <c r="AK125" s="14">
        <f t="shared" si="89"/>
        <v>139.6481566555602</v>
      </c>
      <c r="AL125" s="22">
        <f t="shared" si="58"/>
        <v>1363.543990421769</v>
      </c>
      <c r="AM125" s="62">
        <f t="shared" si="59"/>
        <v>1656.8773237551022</v>
      </c>
      <c r="AN125" s="62">
        <f ca="1">AVERAGE(OFFSET($AM$3,0,0,'Données projet'!$E$10+1,1))-AVERAGE(OFFSET($H$3,0,0,'Données projet'!$E$10+1,1))</f>
        <v>886.54265074144564</v>
      </c>
      <c r="AO125" s="62">
        <f t="shared" si="90"/>
        <v>254.8922423500004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1.5600000000000023</v>
      </c>
      <c r="BD125" s="13">
        <f>IF('Données projet'!$A$88&gt;35,BD124+BC125-BL124,IF(A125&lt;'Données projet'!$A$88,$BA$205^A125,IF(A125='Données projet'!$A$88,'Données projet'!$B$88,BD124+BC125-BL124)))</f>
        <v>142.32000000000019</v>
      </c>
      <c r="BE125" s="14">
        <f>BD125*VLOOKUP('Données projet'!$B$11,Paramètres!$A$1:$I$89,3,0)*VLOOKUP('Données projet'!$B$11,Paramètres!$A$1:$I$89,5,0)</f>
        <v>163.95264000000023</v>
      </c>
      <c r="BF125" s="14">
        <f t="shared" si="91"/>
        <v>41.732774207980988</v>
      </c>
      <c r="BG125" s="22">
        <f t="shared" si="61"/>
        <v>358.23542974556727</v>
      </c>
      <c r="BH125" s="62">
        <f t="shared" si="62"/>
        <v>651.56876307890059</v>
      </c>
      <c r="BI125" s="62">
        <f ca="1">AVERAGE(OFFSET($BH$3,0,0,'Données projet'!$E$11+1,1))-AVERAGE(OFFSET($H$3,0,0,'Données projet'!$E$11+1,1))</f>
        <v>165.98015798223548</v>
      </c>
      <c r="BJ125" s="62">
        <f t="shared" si="92"/>
        <v>143.97979034100706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273.96095999999949</v>
      </c>
      <c r="CA125" s="14">
        <f t="shared" si="93"/>
        <v>65.689171132379428</v>
      </c>
      <c r="CB125" s="22">
        <f t="shared" si="64"/>
        <v>591.5573117222267</v>
      </c>
      <c r="CC125" s="62">
        <f t="shared" si="65"/>
        <v>884.89064505556007</v>
      </c>
      <c r="CD125" s="62">
        <f ca="1">AVERAGE(OFFSET($CC$3,0,0,'Données projet'!$E$12+1,1))-AVERAGE(OFFSET($H$3,0,0,'Données projet'!$E$12+1,1))</f>
        <v>335.16942824912076</v>
      </c>
      <c r="CE125" s="62">
        <f t="shared" si="94"/>
        <v>190.00559730122677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152.63300189110146</v>
      </c>
      <c r="T126" s="62">
        <f t="shared" si="88"/>
        <v>236.66430374499453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2.1396184330621675</v>
      </c>
      <c r="AA126" s="23">
        <f>EXP(-LN(2)/25)*AA125+(1-EXP(-LN(2)/25))/(LN(2)/25)*Calculateur!V126*Calculateur!X126*VLOOKUP('Données projet'!$B$9,Paramètres!$A$1:$I$89,3,0)*0.475*44/12</f>
        <v>0.74302932656675869</v>
      </c>
      <c r="AB126" s="23">
        <f>EXP(-LN(2)/2)*AB125+(1-EXP(-LN(2)/2))/(LN(2)/2)*V126*Y126*VLOOKUP('Données projet'!$B$9,Paramètres!$A$1:$I$89,3,0)*0.475*44/12</f>
        <v>2.9412361505135994E-14</v>
      </c>
      <c r="AC126" s="24">
        <f t="shared" si="57"/>
        <v>2.8826477596289557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6.8157666666666668</v>
      </c>
      <c r="AI126" s="14">
        <f>IF('Données projet'!$A$62&gt;35,AI125+AH126-AQ125,IF(A126&lt;'Données projet'!$A$62,$AF$205^A126,IF(A126='Données projet'!$A$62,'Données projet'!$B$62,AI125+AH126-AQ125)))</f>
        <v>595.87063333333424</v>
      </c>
      <c r="AJ126" s="14">
        <f>AI126*VLOOKUP('Données projet'!$B$10,Paramètres!$A$1:$I$89,3,0)*VLOOKUP('Données projet'!$B$10,Paramètres!$A$1:$I$89,5,0)</f>
        <v>650.69073160000096</v>
      </c>
      <c r="AK126" s="14">
        <f t="shared" si="89"/>
        <v>141.07494178582587</v>
      </c>
      <c r="AL126" s="22">
        <f t="shared" si="58"/>
        <v>1378.9918811469815</v>
      </c>
      <c r="AM126" s="62">
        <f t="shared" si="59"/>
        <v>1672.3252144803148</v>
      </c>
      <c r="AN126" s="62">
        <f ca="1">AVERAGE(OFFSET($AM$3,0,0,'Données projet'!$E$10+1,1))-AVERAGE(OFFSET($H$3,0,0,'Données projet'!$E$10+1,1))</f>
        <v>886.54265074144564</v>
      </c>
      <c r="AO126" s="62">
        <f t="shared" si="90"/>
        <v>254.8922423500004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1.5600000000000023</v>
      </c>
      <c r="BD126" s="13">
        <f>IF('Données projet'!$A$88&gt;35,BD125+BC126-BL125,IF(A126&lt;'Données projet'!$A$88,$BA$205^A126,IF(A126='Données projet'!$A$88,'Données projet'!$B$88,BD125+BC126-BL125)))</f>
        <v>143.88000000000019</v>
      </c>
      <c r="BE126" s="14">
        <f>BD126*VLOOKUP('Données projet'!$B$11,Paramètres!$A$1:$I$89,3,0)*VLOOKUP('Données projet'!$B$11,Paramètres!$A$1:$I$89,5,0)</f>
        <v>165.74976000000024</v>
      </c>
      <c r="BF126" s="14">
        <f t="shared" si="91"/>
        <v>42.136713041532076</v>
      </c>
      <c r="BG126" s="22">
        <f t="shared" si="61"/>
        <v>362.06894054733544</v>
      </c>
      <c r="BH126" s="62">
        <f t="shared" si="62"/>
        <v>655.40227388066876</v>
      </c>
      <c r="BI126" s="62">
        <f ca="1">AVERAGE(OFFSET($BH$3,0,0,'Données projet'!$E$11+1,1))-AVERAGE(OFFSET($H$3,0,0,'Données projet'!$E$11+1,1))</f>
        <v>165.98015798223548</v>
      </c>
      <c r="BJ126" s="62">
        <f t="shared" si="92"/>
        <v>143.97979034100706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277.15583999999944</v>
      </c>
      <c r="CA126" s="14">
        <f t="shared" si="93"/>
        <v>66.365599433007773</v>
      </c>
      <c r="CB126" s="22">
        <f t="shared" si="64"/>
        <v>598.29984034582083</v>
      </c>
      <c r="CC126" s="62">
        <f t="shared" si="65"/>
        <v>891.6331736791542</v>
      </c>
      <c r="CD126" s="62">
        <f ca="1">AVERAGE(OFFSET($CC$3,0,0,'Données projet'!$E$12+1,1))-AVERAGE(OFFSET($H$3,0,0,'Données projet'!$E$12+1,1))</f>
        <v>335.16942824912076</v>
      </c>
      <c r="CE126" s="62">
        <f t="shared" si="94"/>
        <v>190.00559730122677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152.63300189110146</v>
      </c>
      <c r="T127" s="62">
        <f t="shared" si="88"/>
        <v>236.66430374499453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2.0976618206282005</v>
      </c>
      <c r="AA127" s="23">
        <f>EXP(-LN(2)/25)*AA126+(1-EXP(-LN(2)/25))/(LN(2)/25)*Calculateur!V127*Calculateur!X127*VLOOKUP('Données projet'!$B$9,Paramètres!$A$1:$I$89,3,0)*0.475*44/12</f>
        <v>0.72271115055757662</v>
      </c>
      <c r="AB127" s="23">
        <f>EXP(-LN(2)/2)*AB126+(1-EXP(-LN(2)/2))/(LN(2)/2)*V127*Y127*VLOOKUP('Données projet'!$B$9,Paramètres!$A$1:$I$89,3,0)*0.475*44/12</f>
        <v>2.0797680270991832E-14</v>
      </c>
      <c r="AC127" s="24">
        <f t="shared" si="57"/>
        <v>2.8203729711857979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6.8157666666666668</v>
      </c>
      <c r="AI127" s="14">
        <f>IF('Données projet'!$A$62&gt;35,AI126+AH127-AQ126,IF(A127&lt;'Données projet'!$A$62,$AF$205^A127,IF(A127='Données projet'!$A$62,'Données projet'!$B$62,AI126+AH127-AQ126)))</f>
        <v>602.68640000000096</v>
      </c>
      <c r="AJ127" s="14">
        <f>AI127*VLOOKUP('Données projet'!$B$10,Paramètres!$A$1:$I$89,3,0)*VLOOKUP('Données projet'!$B$10,Paramètres!$A$1:$I$89,5,0)</f>
        <v>658.13354880000099</v>
      </c>
      <c r="AK127" s="14">
        <f t="shared" si="89"/>
        <v>142.49982848333283</v>
      </c>
      <c r="AL127" s="22">
        <f t="shared" si="58"/>
        <v>1394.43646543514</v>
      </c>
      <c r="AM127" s="62">
        <f t="shared" si="59"/>
        <v>1687.7697987684733</v>
      </c>
      <c r="AN127" s="62">
        <f ca="1">AVERAGE(OFFSET($AM$3,0,0,'Données projet'!$E$10+1,1))-AVERAGE(OFFSET($H$3,0,0,'Données projet'!$E$10+1,1))</f>
        <v>886.54265074144564</v>
      </c>
      <c r="AO127" s="62">
        <f t="shared" si="90"/>
        <v>254.8922423500004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1.5600000000000023</v>
      </c>
      <c r="BD127" s="13">
        <f>IF('Données projet'!$A$88&gt;35,BD126+BC127-BL126,IF(A127&lt;'Données projet'!$A$88,$BA$205^A127,IF(A127='Données projet'!$A$88,'Données projet'!$B$88,BD126+BC127-BL126)))</f>
        <v>145.4400000000002</v>
      </c>
      <c r="BE127" s="14">
        <f>BD127*VLOOKUP('Données projet'!$B$11,Paramètres!$A$1:$I$89,3,0)*VLOOKUP('Données projet'!$B$11,Paramètres!$A$1:$I$89,5,0)</f>
        <v>167.54688000000019</v>
      </c>
      <c r="BF127" s="14">
        <f t="shared" si="91"/>
        <v>42.540142394387296</v>
      </c>
      <c r="BG127" s="22">
        <f t="shared" si="61"/>
        <v>365.90156400355818</v>
      </c>
      <c r="BH127" s="62">
        <f t="shared" si="62"/>
        <v>659.23489733689144</v>
      </c>
      <c r="BI127" s="62">
        <f ca="1">AVERAGE(OFFSET($BH$3,0,0,'Données projet'!$E$11+1,1))-AVERAGE(OFFSET($H$3,0,0,'Données projet'!$E$11+1,1))</f>
        <v>165.98015798223548</v>
      </c>
      <c r="BJ127" s="62">
        <f t="shared" si="92"/>
        <v>143.97979034100706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280.35071999999946</v>
      </c>
      <c r="CA127" s="14">
        <f t="shared" si="93"/>
        <v>67.041120698511705</v>
      </c>
      <c r="CB127" s="22">
        <f t="shared" si="64"/>
        <v>605.04078921657356</v>
      </c>
      <c r="CC127" s="62">
        <f t="shared" si="65"/>
        <v>898.37412254990682</v>
      </c>
      <c r="CD127" s="62">
        <f ca="1">AVERAGE(OFFSET($CC$3,0,0,'Données projet'!$E$12+1,1))-AVERAGE(OFFSET($H$3,0,0,'Données projet'!$E$12+1,1))</f>
        <v>335.16942824912076</v>
      </c>
      <c r="CE127" s="62">
        <f t="shared" si="94"/>
        <v>190.00559730122677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152.63300189110146</v>
      </c>
      <c r="T128" s="62">
        <f t="shared" si="88"/>
        <v>236.66430374499453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2.0565279517730573</v>
      </c>
      <c r="AA128" s="23">
        <f>EXP(-LN(2)/25)*AA127+(1-EXP(-LN(2)/25))/(LN(2)/25)*Calculateur!V128*Calculateur!X128*VLOOKUP('Données projet'!$B$9,Paramètres!$A$1:$I$89,3,0)*0.475*44/12</f>
        <v>0.70294857613985207</v>
      </c>
      <c r="AB128" s="23">
        <f>EXP(-LN(2)/2)*AB127+(1-EXP(-LN(2)/2))/(LN(2)/2)*V128*Y128*VLOOKUP('Données projet'!$B$9,Paramètres!$A$1:$I$89,3,0)*0.475*44/12</f>
        <v>1.4706180752567997E-14</v>
      </c>
      <c r="AC128" s="24">
        <f t="shared" si="57"/>
        <v>2.7594765279129239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6.8157666666666668</v>
      </c>
      <c r="AI128" s="14">
        <f>IF('Données projet'!$A$62&gt;35,AI127+AH128-AQ127,IF(A128&lt;'Données projet'!$A$62,$AF$205^A128,IF(A128='Données projet'!$A$62,'Données projet'!$B$62,AI127+AH128-AQ127)))</f>
        <v>609.50216666666768</v>
      </c>
      <c r="AJ128" s="14">
        <f>AI128*VLOOKUP('Données projet'!$B$10,Paramètres!$A$1:$I$89,3,0)*VLOOKUP('Données projet'!$B$10,Paramètres!$A$1:$I$89,5,0)</f>
        <v>665.57636600000114</v>
      </c>
      <c r="AK128" s="14">
        <f t="shared" si="89"/>
        <v>143.9228407017016</v>
      </c>
      <c r="AL128" s="22">
        <f t="shared" si="58"/>
        <v>1409.8777850054657</v>
      </c>
      <c r="AM128" s="62">
        <f t="shared" si="59"/>
        <v>1703.211118338799</v>
      </c>
      <c r="AN128" s="62">
        <f ca="1">AVERAGE(OFFSET($AM$3,0,0,'Données projet'!$E$10+1,1))-AVERAGE(OFFSET($H$3,0,0,'Données projet'!$E$10+1,1))</f>
        <v>886.54265074144564</v>
      </c>
      <c r="AO128" s="62">
        <f t="shared" si="90"/>
        <v>254.8922423500004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1.5600000000000023</v>
      </c>
      <c r="BD128" s="13">
        <f>IF('Données projet'!$A$88&gt;35,BD127+BC128-BL127,IF(A128&lt;'Données projet'!$A$88,$BA$205^A128,IF(A128='Données projet'!$A$88,'Données projet'!$B$88,BD127+BC128-BL127)))</f>
        <v>147.0000000000002</v>
      </c>
      <c r="BE128" s="14">
        <f>BD128*VLOOKUP('Données projet'!$B$11,Paramètres!$A$1:$I$89,3,0)*VLOOKUP('Données projet'!$B$11,Paramètres!$A$1:$I$89,5,0)</f>
        <v>169.34400000000019</v>
      </c>
      <c r="BF128" s="14">
        <f t="shared" si="91"/>
        <v>42.943068363795909</v>
      </c>
      <c r="BG128" s="22">
        <f t="shared" si="61"/>
        <v>369.73331073361152</v>
      </c>
      <c r="BH128" s="62">
        <f t="shared" si="62"/>
        <v>663.06664406694483</v>
      </c>
      <c r="BI128" s="62">
        <f ca="1">AVERAGE(OFFSET($BH$3,0,0,'Données projet'!$E$11+1,1))-AVERAGE(OFFSET($H$3,0,0,'Données projet'!$E$11+1,1))</f>
        <v>165.98015798223548</v>
      </c>
      <c r="BJ128" s="62">
        <f t="shared" si="92"/>
        <v>143.97979034100706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283.54559999999947</v>
      </c>
      <c r="CA128" s="14">
        <f t="shared" si="93"/>
        <v>67.715746461503485</v>
      </c>
      <c r="CB128" s="22">
        <f t="shared" si="64"/>
        <v>611.78017842045085</v>
      </c>
      <c r="CC128" s="62">
        <f t="shared" si="65"/>
        <v>905.11351175378422</v>
      </c>
      <c r="CD128" s="62">
        <f ca="1">AVERAGE(OFFSET($CC$3,0,0,'Données projet'!$E$12+1,1))-AVERAGE(OFFSET($H$3,0,0,'Données projet'!$E$12+1,1))</f>
        <v>335.16942824912076</v>
      </c>
      <c r="CE128" s="62">
        <f t="shared" si="94"/>
        <v>190.00559730122677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152.63300189110146</v>
      </c>
      <c r="T129" s="62">
        <f t="shared" si="88"/>
        <v>236.66430374499453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2.0162006929969807</v>
      </c>
      <c r="AA129" s="23">
        <f>EXP(-LN(2)/25)*AA128+(1-EXP(-LN(2)/25))/(LN(2)/25)*Calculateur!V129*Calculateur!X129*VLOOKUP('Données projet'!$B$9,Paramètres!$A$1:$I$89,3,0)*0.475*44/12</f>
        <v>0.68372641035884885</v>
      </c>
      <c r="AB129" s="23">
        <f>EXP(-LN(2)/2)*AB128+(1-EXP(-LN(2)/2))/(LN(2)/2)*V129*Y129*VLOOKUP('Données projet'!$B$9,Paramètres!$A$1:$I$89,3,0)*0.475*44/12</f>
        <v>1.0398840135495916E-14</v>
      </c>
      <c r="AC129" s="24">
        <f t="shared" si="57"/>
        <v>2.6999271033558396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6.8157666666666668</v>
      </c>
      <c r="AI129" s="14">
        <f>IF('Données projet'!$A$62&gt;35,AI128+AH129-AQ128,IF(A129&lt;'Données projet'!$A$62,$AF$205^A129,IF(A129='Données projet'!$A$62,'Données projet'!$B$62,AI128+AH129-AQ128)))</f>
        <v>616.31793333333439</v>
      </c>
      <c r="AJ129" s="14">
        <f>AI129*VLOOKUP('Données projet'!$B$10,Paramètres!$A$1:$I$89,3,0)*VLOOKUP('Données projet'!$B$10,Paramètres!$A$1:$I$89,5,0)</f>
        <v>673.01918320000118</v>
      </c>
      <c r="AK129" s="14">
        <f t="shared" si="89"/>
        <v>145.34400182798385</v>
      </c>
      <c r="AL129" s="22">
        <f t="shared" si="58"/>
        <v>1425.3158805904075</v>
      </c>
      <c r="AM129" s="62">
        <f t="shared" si="59"/>
        <v>1718.6492139237407</v>
      </c>
      <c r="AN129" s="62">
        <f ca="1">AVERAGE(OFFSET($AM$3,0,0,'Données projet'!$E$10+1,1))-AVERAGE(OFFSET($H$3,0,0,'Données projet'!$E$10+1,1))</f>
        <v>886.54265074144564</v>
      </c>
      <c r="AO129" s="62">
        <f t="shared" si="90"/>
        <v>254.8922423500004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1.5600000000000023</v>
      </c>
      <c r="BD129" s="13">
        <f>IF('Données projet'!$A$88&gt;35,BD128+BC129-BL128,IF(A129&lt;'Données projet'!$A$88,$BA$205^A129,IF(A129='Données projet'!$A$88,'Données projet'!$B$88,BD128+BC129-BL128)))</f>
        <v>148.5600000000002</v>
      </c>
      <c r="BE129" s="14">
        <f>BD129*VLOOKUP('Données projet'!$B$11,Paramètres!$A$1:$I$89,3,0)*VLOOKUP('Données projet'!$B$11,Paramètres!$A$1:$I$89,5,0)</f>
        <v>171.1411200000002</v>
      </c>
      <c r="BF129" s="14">
        <f t="shared" si="91"/>
        <v>43.345496910141279</v>
      </c>
      <c r="BG129" s="22">
        <f t="shared" si="61"/>
        <v>373.56419111849641</v>
      </c>
      <c r="BH129" s="62">
        <f t="shared" si="62"/>
        <v>666.89752445182967</v>
      </c>
      <c r="BI129" s="62">
        <f ca="1">AVERAGE(OFFSET($BH$3,0,0,'Données projet'!$E$11+1,1))-AVERAGE(OFFSET($H$3,0,0,'Données projet'!$E$11+1,1))</f>
        <v>165.98015798223548</v>
      </c>
      <c r="BJ129" s="62">
        <f t="shared" si="92"/>
        <v>143.97979034100706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286.74047999999942</v>
      </c>
      <c r="CA129" s="14">
        <f t="shared" si="93"/>
        <v>68.389487979742853</v>
      </c>
      <c r="CB129" s="22">
        <f t="shared" si="64"/>
        <v>618.51802756471784</v>
      </c>
      <c r="CC129" s="62">
        <f t="shared" si="65"/>
        <v>911.8513608980511</v>
      </c>
      <c r="CD129" s="62">
        <f ca="1">AVERAGE(OFFSET($CC$3,0,0,'Données projet'!$E$12+1,1))-AVERAGE(OFFSET($H$3,0,0,'Données projet'!$E$12+1,1))</f>
        <v>335.16942824912076</v>
      </c>
      <c r="CE129" s="62">
        <f t="shared" si="94"/>
        <v>190.00559730122677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152.63300189110146</v>
      </c>
      <c r="T130" s="62">
        <f t="shared" si="88"/>
        <v>236.66430374499453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1.9766642271683037</v>
      </c>
      <c r="AA130" s="23">
        <f>EXP(-LN(2)/25)*AA129+(1-EXP(-LN(2)/25))/(LN(2)/25)*Calculateur!V130*Calculateur!X130*VLOOKUP('Données projet'!$B$9,Paramètres!$A$1:$I$89,3,0)*0.475*44/12</f>
        <v>0.66502987571197691</v>
      </c>
      <c r="AB130" s="23">
        <f>EXP(-LN(2)/2)*AB129+(1-EXP(-LN(2)/2))/(LN(2)/2)*V130*Y130*VLOOKUP('Données projet'!$B$9,Paramètres!$A$1:$I$89,3,0)*0.475*44/12</f>
        <v>7.3530903762839986E-15</v>
      </c>
      <c r="AC130" s="24">
        <f t="shared" si="57"/>
        <v>2.6416941028802881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6.8157666666666668</v>
      </c>
      <c r="AI130" s="14">
        <f>IF('Données projet'!$A$62&gt;35,AI129+AH130-AQ129,IF(A130&lt;'Données projet'!$A$62,$AF$205^A130,IF(A130='Données projet'!$A$62,'Données projet'!$B$62,AI129+AH130-AQ129)))</f>
        <v>623.13370000000111</v>
      </c>
      <c r="AJ130" s="14">
        <f>AI130*VLOOKUP('Données projet'!$B$10,Paramètres!$A$1:$I$89,3,0)*VLOOKUP('Données projet'!$B$10,Paramètres!$A$1:$I$89,5,0)</f>
        <v>680.46200040000122</v>
      </c>
      <c r="AK130" s="14">
        <f t="shared" si="89"/>
        <v>146.76333470217745</v>
      </c>
      <c r="AL130" s="22">
        <f t="shared" si="58"/>
        <v>1440.7507919696275</v>
      </c>
      <c r="AM130" s="62">
        <f t="shared" si="59"/>
        <v>1734.0841253029607</v>
      </c>
      <c r="AN130" s="62">
        <f ca="1">AVERAGE(OFFSET($AM$3,0,0,'Données projet'!$E$10+1,1))-AVERAGE(OFFSET($H$3,0,0,'Données projet'!$E$10+1,1))</f>
        <v>886.54265074144564</v>
      </c>
      <c r="AO130" s="62">
        <f t="shared" si="90"/>
        <v>254.8922423500004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1.5600000000000023</v>
      </c>
      <c r="BD130" s="13">
        <f>IF('Données projet'!$A$88&gt;35,BD129+BC130-BL129,IF(A130&lt;'Données projet'!$A$88,$BA$205^A130,IF(A130='Données projet'!$A$88,'Données projet'!$B$88,BD129+BC130-BL129)))</f>
        <v>150.1200000000002</v>
      </c>
      <c r="BE130" s="14">
        <f>BD130*VLOOKUP('Données projet'!$B$11,Paramètres!$A$1:$I$89,3,0)*VLOOKUP('Données projet'!$B$11,Paramètres!$A$1:$I$89,5,0)</f>
        <v>172.93824000000021</v>
      </c>
      <c r="BF130" s="14">
        <f t="shared" si="91"/>
        <v>43.747433861417491</v>
      </c>
      <c r="BG130" s="22">
        <f t="shared" si="61"/>
        <v>377.39421530863575</v>
      </c>
      <c r="BH130" s="62">
        <f t="shared" si="62"/>
        <v>670.72754864196907</v>
      </c>
      <c r="BI130" s="62">
        <f ca="1">AVERAGE(OFFSET($BH$3,0,0,'Données projet'!$E$11+1,1))-AVERAGE(OFFSET($H$3,0,0,'Données projet'!$E$11+1,1))</f>
        <v>165.98015798223548</v>
      </c>
      <c r="BJ130" s="62">
        <f t="shared" si="92"/>
        <v>143.97979034100706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289.93535999999943</v>
      </c>
      <c r="CA130" s="14">
        <f t="shared" si="93"/>
        <v>69.062356245675602</v>
      </c>
      <c r="CB130" s="22">
        <f t="shared" si="64"/>
        <v>625.25435579455075</v>
      </c>
      <c r="CC130" s="62">
        <f t="shared" si="65"/>
        <v>918.587689127884</v>
      </c>
      <c r="CD130" s="62">
        <f ca="1">AVERAGE(OFFSET($CC$3,0,0,'Données projet'!$E$12+1,1))-AVERAGE(OFFSET($H$3,0,0,'Données projet'!$E$12+1,1))</f>
        <v>335.16942824912076</v>
      </c>
      <c r="CE130" s="62">
        <f t="shared" si="94"/>
        <v>190.00559730122677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152.63300189110146</v>
      </c>
      <c r="T131" s="62">
        <f t="shared" si="88"/>
        <v>236.66430374499453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1.9379030473196641</v>
      </c>
      <c r="AA131" s="23">
        <f>EXP(-LN(2)/25)*AA130+(1-EXP(-LN(2)/25))/(LN(2)/25)*Calculateur!V131*Calculateur!X131*VLOOKUP('Données projet'!$B$9,Paramètres!$A$1:$I$89,3,0)*0.475*44/12</f>
        <v>0.64684459878823164</v>
      </c>
      <c r="AB131" s="23">
        <f>EXP(-LN(2)/2)*AB130+(1-EXP(-LN(2)/2))/(LN(2)/2)*V131*Y131*VLOOKUP('Données projet'!$B$9,Paramètres!$A$1:$I$89,3,0)*0.475*44/12</f>
        <v>5.1994200677479579E-15</v>
      </c>
      <c r="AC131" s="24">
        <f t="shared" si="57"/>
        <v>2.5847476461079011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6.8157666666666668</v>
      </c>
      <c r="AI131" s="14">
        <f>IF('Données projet'!$A$62&gt;35,AI130+AH131-AQ130,IF(A131&lt;'Données projet'!$A$62,$AF$205^A131,IF(A131='Données projet'!$A$62,'Données projet'!$B$62,AI130+AH131-AQ130)))</f>
        <v>629.94946666666783</v>
      </c>
      <c r="AJ131" s="14">
        <f>AI131*VLOOKUP('Données projet'!$B$10,Paramètres!$A$1:$I$89,3,0)*VLOOKUP('Données projet'!$B$10,Paramètres!$A$1:$I$89,5,0)</f>
        <v>687.90481760000125</v>
      </c>
      <c r="AK131" s="14">
        <f t="shared" si="89"/>
        <v>148.18086163586372</v>
      </c>
      <c r="AL131" s="22">
        <f t="shared" si="58"/>
        <v>1456.1825580024645</v>
      </c>
      <c r="AM131" s="62">
        <f t="shared" si="59"/>
        <v>1749.5158913357977</v>
      </c>
      <c r="AN131" s="62">
        <f ca="1">AVERAGE(OFFSET($AM$3,0,0,'Données projet'!$E$10+1,1))-AVERAGE(OFFSET($H$3,0,0,'Données projet'!$E$10+1,1))</f>
        <v>886.54265074144564</v>
      </c>
      <c r="AO131" s="62">
        <f t="shared" si="90"/>
        <v>254.8922423500004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1.5600000000000023</v>
      </c>
      <c r="BD131" s="13">
        <f>IF('Données projet'!$A$88&gt;35,BD130+BC131-BL130,IF(A131&lt;'Données projet'!$A$88,$BA$205^A131,IF(A131='Données projet'!$A$88,'Données projet'!$B$88,BD130+BC131-BL130)))</f>
        <v>151.68000000000021</v>
      </c>
      <c r="BE131" s="14">
        <f>BD131*VLOOKUP('Données projet'!$B$11,Paramètres!$A$1:$I$89,3,0)*VLOOKUP('Données projet'!$B$11,Paramètres!$A$1:$I$89,5,0)</f>
        <v>174.73536000000021</v>
      </c>
      <c r="BF131" s="14">
        <f t="shared" si="91"/>
        <v>44.148884917514366</v>
      </c>
      <c r="BG131" s="22">
        <f t="shared" si="61"/>
        <v>381.22339323133792</v>
      </c>
      <c r="BH131" s="62">
        <f t="shared" si="62"/>
        <v>674.55672656467118</v>
      </c>
      <c r="BI131" s="62">
        <f ca="1">AVERAGE(OFFSET($BH$3,0,0,'Données projet'!$E$11+1,1))-AVERAGE(OFFSET($H$3,0,0,'Données projet'!$E$11+1,1))</f>
        <v>165.98015798223548</v>
      </c>
      <c r="BJ131" s="62">
        <f t="shared" si="92"/>
        <v>143.97979034100706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293.13023999999945</v>
      </c>
      <c r="CA131" s="14">
        <f t="shared" si="93"/>
        <v>69.734361995539217</v>
      </c>
      <c r="CB131" s="22">
        <f t="shared" si="64"/>
        <v>631.98918180889655</v>
      </c>
      <c r="CC131" s="62">
        <f t="shared" si="65"/>
        <v>925.3225151422298</v>
      </c>
      <c r="CD131" s="62">
        <f ca="1">AVERAGE(OFFSET($CC$3,0,0,'Données projet'!$E$12+1,1))-AVERAGE(OFFSET($H$3,0,0,'Données projet'!$E$12+1,1))</f>
        <v>335.16942824912076</v>
      </c>
      <c r="CE131" s="62">
        <f t="shared" si="94"/>
        <v>190.00559730122677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152.63300189110146</v>
      </c>
      <c r="T132" s="62">
        <f t="shared" si="88"/>
        <v>236.66430374499453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1.8999019505658712</v>
      </c>
      <c r="AA132" s="23">
        <f>EXP(-LN(2)/25)*AA131+(1-EXP(-LN(2)/25))/(LN(2)/25)*Calculateur!V132*Calculateur!X132*VLOOKUP('Données projet'!$B$9,Paramètres!$A$1:$I$89,3,0)*0.475*44/12</f>
        <v>0.62915659921828837</v>
      </c>
      <c r="AB132" s="23">
        <f>EXP(-LN(2)/2)*AB131+(1-EXP(-LN(2)/2))/(LN(2)/2)*V132*Y132*VLOOKUP('Données projet'!$B$9,Paramètres!$A$1:$I$89,3,0)*0.475*44/12</f>
        <v>3.6765451881419993E-15</v>
      </c>
      <c r="AC132" s="24">
        <f t="shared" ref="AC132:AC153" si="111">SUM(Z132:AB132)</f>
        <v>2.5290585497841631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6.8157666666666668</v>
      </c>
      <c r="AI132" s="14">
        <f>IF('Données projet'!$A$62&gt;35,AI131+AH132-AQ131,IF(A132&lt;'Données projet'!$A$62,$AF$205^A132,IF(A132='Données projet'!$A$62,'Données projet'!$B$62,AI131+AH132-AQ131)))</f>
        <v>636.76523333333455</v>
      </c>
      <c r="AJ132" s="14">
        <f>AI132*VLOOKUP('Données projet'!$B$10,Paramètres!$A$1:$I$89,3,0)*VLOOKUP('Données projet'!$B$10,Paramètres!$A$1:$I$89,5,0)</f>
        <v>695.34763480000129</v>
      </c>
      <c r="AK132" s="14">
        <f t="shared" si="89"/>
        <v>149.59660443001442</v>
      </c>
      <c r="AL132" s="22">
        <f t="shared" ref="AL132:AL153" si="112">(AJ132+AK132)*0.475*44/12</f>
        <v>1471.6112166589439</v>
      </c>
      <c r="AM132" s="62">
        <f t="shared" ref="AM132:AM195" si="113">AL132+(AD132+AE132)*44/12</f>
        <v>1764.9445499922772</v>
      </c>
      <c r="AN132" s="62">
        <f ca="1">AVERAGE(OFFSET($AM$3,0,0,'Données projet'!$E$10+1,1))-AVERAGE(OFFSET($H$3,0,0,'Données projet'!$E$10+1,1))</f>
        <v>886.54265074144564</v>
      </c>
      <c r="AO132" s="62">
        <f t="shared" si="90"/>
        <v>254.8922423500004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1.5600000000000023</v>
      </c>
      <c r="BD132" s="13">
        <f>IF('Données projet'!$A$88&gt;35,BD131+BC132-BL131,IF(A132&lt;'Données projet'!$A$88,$BA$205^A132,IF(A132='Données projet'!$A$88,'Données projet'!$B$88,BD131+BC132-BL131)))</f>
        <v>153.24000000000021</v>
      </c>
      <c r="BE132" s="14">
        <f>BD132*VLOOKUP('Données projet'!$B$11,Paramètres!$A$1:$I$89,3,0)*VLOOKUP('Données projet'!$B$11,Paramètres!$A$1:$I$89,5,0)</f>
        <v>176.53248000000022</v>
      </c>
      <c r="BF132" s="14">
        <f t="shared" si="91"/>
        <v>44.549855654321263</v>
      </c>
      <c r="BG132" s="22">
        <f t="shared" ref="BG132:BG153" si="115">(BE132+BF132)*0.475*44/12</f>
        <v>385.05173459794327</v>
      </c>
      <c r="BH132" s="62">
        <f t="shared" ref="BH132:BH195" si="116">BG132+(AY132+AZ132)*44/12</f>
        <v>678.38506793127658</v>
      </c>
      <c r="BI132" s="62">
        <f ca="1">AVERAGE(OFFSET($BH$3,0,0,'Données projet'!$E$11+1,1))-AVERAGE(OFFSET($H$3,0,0,'Données projet'!$E$11+1,1))</f>
        <v>165.98015798223548</v>
      </c>
      <c r="BJ132" s="62">
        <f t="shared" si="92"/>
        <v>143.97979034100706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296.3251199999994</v>
      </c>
      <c r="CA132" s="14">
        <f t="shared" si="93"/>
        <v>70.405515718060343</v>
      </c>
      <c r="CB132" s="22">
        <f t="shared" ref="CB132:CB153" si="118">(BZ132+CA132)*0.475*44/12</f>
        <v>638.7225238756206</v>
      </c>
      <c r="CC132" s="62">
        <f t="shared" ref="CC132:CC195" si="119">CB132+(BT132+BU132)*44/12</f>
        <v>932.05585720895397</v>
      </c>
      <c r="CD132" s="62">
        <f ca="1">AVERAGE(OFFSET($CC$3,0,0,'Données projet'!$E$12+1,1))-AVERAGE(OFFSET($H$3,0,0,'Données projet'!$E$12+1,1))</f>
        <v>335.16942824912076</v>
      </c>
      <c r="CE132" s="62">
        <f t="shared" si="94"/>
        <v>190.00559730122677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152.63300189110146</v>
      </c>
      <c r="T133" s="62">
        <f t="shared" ref="T133:T196" si="142">$T$3</f>
        <v>236.66430374499453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1.8626460321410399</v>
      </c>
      <c r="AA133" s="23">
        <f>EXP(-LN(2)/25)*AA132+(1-EXP(-LN(2)/25))/(LN(2)/25)*Calculateur!V133*Calculateur!X133*VLOOKUP('Données projet'!$B$9,Paramètres!$A$1:$I$89,3,0)*0.475*44/12</f>
        <v>0.61195227892675663</v>
      </c>
      <c r="AB133" s="23">
        <f>EXP(-LN(2)/2)*AB132+(1-EXP(-LN(2)/2))/(LN(2)/2)*V133*Y133*VLOOKUP('Données projet'!$B$9,Paramètres!$A$1:$I$89,3,0)*0.475*44/12</f>
        <v>2.5997100338739789E-15</v>
      </c>
      <c r="AC133" s="24">
        <f t="shared" si="111"/>
        <v>2.4745983110677994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643.58100000000002</v>
      </c>
      <c r="AG133" s="13">
        <f>VLOOKUP(A133,'Données projet'!$A$61:$I$81,9,0)</f>
        <v>6.8157666666666668</v>
      </c>
      <c r="AH133" s="13">
        <f t="array" ref="AH133">INDEX(AG:AG,MIN(IF(ISNUMBER(AG133:AG329),ROW(AG133:AG329),"")))</f>
        <v>6.8157666666666668</v>
      </c>
      <c r="AI133" s="14">
        <f>IF('Données projet'!$A$62&gt;35,AI132+AH133-AQ132,IF(A133&lt;'Données projet'!$A$62,$AF$205^A133,IF(A133='Données projet'!$A$62,'Données projet'!$B$62,AI132+AH133-AQ132)))</f>
        <v>643.58100000000127</v>
      </c>
      <c r="AJ133" s="14">
        <f>AI133*VLOOKUP('Données projet'!$B$10,Paramètres!$A$1:$I$89,3,0)*VLOOKUP('Données projet'!$B$10,Paramètres!$A$1:$I$89,5,0)</f>
        <v>702.79045200000144</v>
      </c>
      <c r="AK133" s="14">
        <f t="shared" ref="AK133:AK153" si="143">EXP(-1.0587+0.8836*LN(AJ133)+0.284)</f>
        <v>151.01058439201509</v>
      </c>
      <c r="AL133" s="22">
        <f t="shared" si="112"/>
        <v>1487.0368050494287</v>
      </c>
      <c r="AM133" s="62">
        <f t="shared" si="113"/>
        <v>1780.370138382762</v>
      </c>
      <c r="AN133" s="62">
        <f ca="1">AVERAGE(OFFSET($AM$3,0,0,'Données projet'!$E$10+1,1))-AVERAGE(OFFSET($H$3,0,0,'Données projet'!$E$10+1,1))</f>
        <v>886.54265074144564</v>
      </c>
      <c r="AO133" s="62">
        <f t="shared" ref="AO133:AO196" si="144">$AO$3</f>
        <v>254.8922423500004</v>
      </c>
      <c r="AP133" s="16">
        <f>IF(ISNA(VLOOKUP(A133,'Données projet'!$A$61:$I$81,3,0)),0,VLOOKUP(A133,'Données projet'!$A$61:$I$81,3,0))</f>
        <v>6</v>
      </c>
      <c r="AQ133" s="16">
        <f>IF(ISNA(VLOOKUP(A133,'Données projet'!$A$61:$I$81,4,0)),0,VLOOKUP(A133,'Données projet'!$A$61:$I$81,4,0))</f>
        <v>71.509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154.80000000000001</v>
      </c>
      <c r="BB133" s="13">
        <f>VLOOKUP(A133,'Données projet'!$A$87:$I$107,9,0)</f>
        <v>1.5600000000000023</v>
      </c>
      <c r="BC133" s="13">
        <f t="array" ref="BC133">INDEX(BB:BB,MIN(IF(ISNUMBER(BB133:BB329),ROW(BB133:BB329),"")))</f>
        <v>1.5600000000000023</v>
      </c>
      <c r="BD133" s="13">
        <f>IF('Données projet'!$A$88&gt;35,BD132+BC133-BL132,IF(A133&lt;'Données projet'!$A$88,$BA$205^A133,IF(A133='Données projet'!$A$88,'Données projet'!$B$88,BD132+BC133-BL132)))</f>
        <v>154.80000000000021</v>
      </c>
      <c r="BE133" s="14">
        <f>BD133*VLOOKUP('Données projet'!$B$11,Paramètres!$A$1:$I$89,3,0)*VLOOKUP('Données projet'!$B$11,Paramètres!$A$1:$I$89,5,0)</f>
        <v>178.32960000000023</v>
      </c>
      <c r="BF133" s="14">
        <f t="shared" ref="BF133:BF153" si="145">EXP(-1.0587+0.8836*LN(BE133)+0.284)</f>
        <v>44.950351527658945</v>
      </c>
      <c r="BG133" s="22">
        <f t="shared" si="115"/>
        <v>388.87924891067297</v>
      </c>
      <c r="BH133" s="62">
        <f t="shared" si="116"/>
        <v>682.21258224400628</v>
      </c>
      <c r="BI133" s="62">
        <f ca="1">AVERAGE(OFFSET($BH$3,0,0,'Données projet'!$E$11+1,1))-AVERAGE(OFFSET($H$3,0,0,'Données projet'!$E$11+1,1))</f>
        <v>165.98015798223548</v>
      </c>
      <c r="BJ133" s="62">
        <f t="shared" ref="BJ133:BJ196" si="146">$BJ$3</f>
        <v>143.97979034100706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12.5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299.51999999999941</v>
      </c>
      <c r="CA133" s="14">
        <f t="shared" ref="CA133:CA153" si="147">EXP(-1.0587+0.8836*LN(BZ133)+0.284)</f>
        <v>71.075827662766997</v>
      </c>
      <c r="CB133" s="22">
        <f t="shared" si="118"/>
        <v>645.45439984598477</v>
      </c>
      <c r="CC133" s="62">
        <f t="shared" si="119"/>
        <v>938.78773317931814</v>
      </c>
      <c r="CD133" s="62">
        <f ca="1">AVERAGE(OFFSET($CC$3,0,0,'Données projet'!$E$12+1,1))-AVERAGE(OFFSET($H$3,0,0,'Données projet'!$E$12+1,1))</f>
        <v>335.16942824912076</v>
      </c>
      <c r="CE133" s="62">
        <f t="shared" ref="CE133:CE196" si="148">$CE$3</f>
        <v>190.00559730122677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152.63300189110146</v>
      </c>
      <c r="T134" s="62">
        <f t="shared" si="142"/>
        <v>236.66430374499453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1.826120679552653</v>
      </c>
      <c r="AA134" s="23">
        <f>EXP(-LN(2)/25)*AA133+(1-EXP(-LN(2)/25))/(LN(2)/25)*Calculateur!V134*Calculateur!X134*VLOOKUP('Données projet'!$B$9,Paramètres!$A$1:$I$89,3,0)*0.475*44/12</f>
        <v>0.59521841167833278</v>
      </c>
      <c r="AB134" s="23">
        <f>EXP(-LN(2)/2)*AB133+(1-EXP(-LN(2)/2))/(LN(2)/2)*V134*Y134*VLOOKUP('Données projet'!$B$9,Paramètres!$A$1:$I$89,3,0)*0.475*44/12</f>
        <v>1.8382725940709996E-15</v>
      </c>
      <c r="AC134" s="24">
        <f t="shared" si="111"/>
        <v>2.4213390912309878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6.0448999999999993</v>
      </c>
      <c r="AI134" s="14">
        <f>IF('Données projet'!$A$62&gt;35,AI133+AH134-AQ133,IF(A134&lt;'Données projet'!$A$62,$AF$205^A134,IF(A134='Données projet'!$A$62,'Données projet'!$B$62,AI133+AH134-AQ133)))</f>
        <v>578.11690000000124</v>
      </c>
      <c r="AJ134" s="14">
        <f>AI134*VLOOKUP('Données projet'!$B$10,Paramètres!$A$1:$I$89,3,0)*VLOOKUP('Données projet'!$B$10,Paramètres!$A$1:$I$89,5,0)</f>
        <v>631.30365480000137</v>
      </c>
      <c r="AK134" s="14">
        <f t="shared" si="143"/>
        <v>137.35441701165237</v>
      </c>
      <c r="AL134" s="22">
        <f t="shared" si="112"/>
        <v>1338.7461417386303</v>
      </c>
      <c r="AM134" s="62">
        <f t="shared" si="113"/>
        <v>1632.0794750719635</v>
      </c>
      <c r="AN134" s="62">
        <f ca="1">AVERAGE(OFFSET($AM$3,0,0,'Données projet'!$E$10+1,1))-AVERAGE(OFFSET($H$3,0,0,'Données projet'!$E$10+1,1))</f>
        <v>886.54265074144564</v>
      </c>
      <c r="AO134" s="62">
        <f t="shared" si="144"/>
        <v>254.8922423500004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1.4599999999999995</v>
      </c>
      <c r="BD134" s="13">
        <f>IF('Données projet'!$A$88&gt;35,BD133+BC134-BL133,IF(A134&lt;'Données projet'!$A$88,$BA$205^A134,IF(A134='Données projet'!$A$88,'Données projet'!$B$88,BD133+BC134-BL133)))</f>
        <v>143.76000000000022</v>
      </c>
      <c r="BE134" s="14">
        <f>BD134*VLOOKUP('Données projet'!$B$11,Paramètres!$A$1:$I$89,3,0)*VLOOKUP('Données projet'!$B$11,Paramètres!$A$1:$I$89,5,0)</f>
        <v>165.61152000000024</v>
      </c>
      <c r="BF134" s="14">
        <f t="shared" si="145"/>
        <v>42.105658990270449</v>
      </c>
      <c r="BG134" s="22">
        <f t="shared" si="115"/>
        <v>361.77408674138815</v>
      </c>
      <c r="BH134" s="62">
        <f t="shared" si="116"/>
        <v>655.1074200747214</v>
      </c>
      <c r="BI134" s="62">
        <f ca="1">AVERAGE(OFFSET($BH$3,0,0,'Données projet'!$E$11+1,1))-AVERAGE(OFFSET($H$3,0,0,'Données projet'!$E$11+1,1))</f>
        <v>165.98015798223548</v>
      </c>
      <c r="BJ134" s="62">
        <f t="shared" si="146"/>
        <v>143.97979034100706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271.26527999999939</v>
      </c>
      <c r="CA134" s="14">
        <f t="shared" si="147"/>
        <v>65.117720527935006</v>
      </c>
      <c r="CB134" s="22">
        <f t="shared" si="118"/>
        <v>585.8670592528191</v>
      </c>
      <c r="CC134" s="62">
        <f t="shared" si="119"/>
        <v>879.20039258615247</v>
      </c>
      <c r="CD134" s="62">
        <f ca="1">AVERAGE(OFFSET($CC$3,0,0,'Données projet'!$E$12+1,1))-AVERAGE(OFFSET($H$3,0,0,'Données projet'!$E$12+1,1))</f>
        <v>335.16942824912076</v>
      </c>
      <c r="CE134" s="62">
        <f t="shared" si="148"/>
        <v>190.00559730122677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152.63300189110146</v>
      </c>
      <c r="T135" s="62">
        <f t="shared" si="142"/>
        <v>236.66430374499453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1.7903115668502592</v>
      </c>
      <c r="AA135" s="23">
        <f>EXP(-LN(2)/25)*AA134+(1-EXP(-LN(2)/25))/(LN(2)/25)*Calculateur!V135*Calculateur!X135*VLOOKUP('Données projet'!$B$9,Paramètres!$A$1:$I$89,3,0)*0.475*44/12</f>
        <v>0.57894213290981289</v>
      </c>
      <c r="AB135" s="23">
        <f>EXP(-LN(2)/2)*AB134+(1-EXP(-LN(2)/2))/(LN(2)/2)*V135*Y135*VLOOKUP('Données projet'!$B$9,Paramètres!$A$1:$I$89,3,0)*0.475*44/12</f>
        <v>1.2998550169369895E-15</v>
      </c>
      <c r="AC135" s="24">
        <f t="shared" si="111"/>
        <v>2.3692536997600735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6.0448999999999993</v>
      </c>
      <c r="AI135" s="14">
        <f>IF('Données projet'!$A$62&gt;35,AI134+AH135-AQ134,IF(A135&lt;'Données projet'!$A$62,$AF$205^A135,IF(A135='Données projet'!$A$62,'Données projet'!$B$62,AI134+AH135-AQ134)))</f>
        <v>584.16180000000122</v>
      </c>
      <c r="AJ135" s="14">
        <f>AI135*VLOOKUP('Données projet'!$B$10,Paramètres!$A$1:$I$89,3,0)*VLOOKUP('Données projet'!$B$10,Paramètres!$A$1:$I$89,5,0)</f>
        <v>637.90468560000136</v>
      </c>
      <c r="AK135" s="14">
        <f t="shared" si="143"/>
        <v>138.62267745035729</v>
      </c>
      <c r="AL135" s="22">
        <f t="shared" si="112"/>
        <v>1352.4518239793745</v>
      </c>
      <c r="AM135" s="62">
        <f t="shared" si="113"/>
        <v>1645.7851573127077</v>
      </c>
      <c r="AN135" s="62">
        <f ca="1">AVERAGE(OFFSET($AM$3,0,0,'Données projet'!$E$10+1,1))-AVERAGE(OFFSET($H$3,0,0,'Données projet'!$E$10+1,1))</f>
        <v>886.54265074144564</v>
      </c>
      <c r="AO135" s="62">
        <f t="shared" si="144"/>
        <v>254.8922423500004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1.4599999999999995</v>
      </c>
      <c r="BD135" s="13">
        <f>IF('Données projet'!$A$88&gt;35,BD134+BC135-BL134,IF(A135&lt;'Données projet'!$A$88,$BA$205^A135,IF(A135='Données projet'!$A$88,'Données projet'!$B$88,BD134+BC135-BL134)))</f>
        <v>145.22000000000023</v>
      </c>
      <c r="BE135" s="14">
        <f>BD135*VLOOKUP('Données projet'!$B$11,Paramètres!$A$1:$I$89,3,0)*VLOOKUP('Données projet'!$B$11,Paramètres!$A$1:$I$89,5,0)</f>
        <v>167.29344000000023</v>
      </c>
      <c r="BF135" s="14">
        <f t="shared" si="145"/>
        <v>42.483279139550618</v>
      </c>
      <c r="BG135" s="22">
        <f t="shared" si="115"/>
        <v>365.36111916805106</v>
      </c>
      <c r="BH135" s="62">
        <f t="shared" si="116"/>
        <v>658.69445250138438</v>
      </c>
      <c r="BI135" s="62">
        <f ca="1">AVERAGE(OFFSET($BH$3,0,0,'Données projet'!$E$11+1,1))-AVERAGE(OFFSET($H$3,0,0,'Données projet'!$E$11+1,1))</f>
        <v>165.98015798223548</v>
      </c>
      <c r="BJ135" s="62">
        <f t="shared" si="146"/>
        <v>143.97979034100706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273.96095999999937</v>
      </c>
      <c r="CA135" s="14">
        <f t="shared" si="147"/>
        <v>65.689171132379371</v>
      </c>
      <c r="CB135" s="22">
        <f t="shared" si="118"/>
        <v>591.55731172222636</v>
      </c>
      <c r="CC135" s="62">
        <f t="shared" si="119"/>
        <v>884.89064505555962</v>
      </c>
      <c r="CD135" s="62">
        <f ca="1">AVERAGE(OFFSET($CC$3,0,0,'Données projet'!$E$12+1,1))-AVERAGE(OFFSET($H$3,0,0,'Données projet'!$E$12+1,1))</f>
        <v>335.16942824912076</v>
      </c>
      <c r="CE135" s="62">
        <f t="shared" si="148"/>
        <v>190.00559730122677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152.63300189110146</v>
      </c>
      <c r="T136" s="62">
        <f t="shared" si="142"/>
        <v>236.66430374499453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1.7552046490065571</v>
      </c>
      <c r="AA136" s="23">
        <f>EXP(-LN(2)/25)*AA135+(1-EXP(-LN(2)/25))/(LN(2)/25)*Calculateur!V136*Calculateur!X136*VLOOKUP('Données projet'!$B$9,Paramètres!$A$1:$I$89,3,0)*0.475*44/12</f>
        <v>0.56311092984015043</v>
      </c>
      <c r="AB136" s="23">
        <f>EXP(-LN(2)/2)*AB135+(1-EXP(-LN(2)/2))/(LN(2)/2)*V136*Y136*VLOOKUP('Données projet'!$B$9,Paramètres!$A$1:$I$89,3,0)*0.475*44/12</f>
        <v>9.1913629703549982E-16</v>
      </c>
      <c r="AC136" s="24">
        <f t="shared" si="111"/>
        <v>2.3183155788467085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6.0448999999999993</v>
      </c>
      <c r="AI136" s="14">
        <f>IF('Données projet'!$A$62&gt;35,AI135+AH136-AQ135,IF(A136&lt;'Données projet'!$A$62,$AF$205^A136,IF(A136='Données projet'!$A$62,'Données projet'!$B$62,AI135+AH136-AQ135)))</f>
        <v>590.20670000000121</v>
      </c>
      <c r="AJ136" s="14">
        <f>AI136*VLOOKUP('Données projet'!$B$10,Paramètres!$A$1:$I$89,3,0)*VLOOKUP('Données projet'!$B$10,Paramètres!$A$1:$I$89,5,0)</f>
        <v>644.50571640000135</v>
      </c>
      <c r="AK136" s="14">
        <f t="shared" si="143"/>
        <v>139.88941115265828</v>
      </c>
      <c r="AL136" s="22">
        <f t="shared" si="112"/>
        <v>1366.1548471542155</v>
      </c>
      <c r="AM136" s="62">
        <f t="shared" si="113"/>
        <v>1659.4881804875488</v>
      </c>
      <c r="AN136" s="62">
        <f ca="1">AVERAGE(OFFSET($AM$3,0,0,'Données projet'!$E$10+1,1))-AVERAGE(OFFSET($H$3,0,0,'Données projet'!$E$10+1,1))</f>
        <v>886.54265074144564</v>
      </c>
      <c r="AO136" s="62">
        <f t="shared" si="144"/>
        <v>254.8922423500004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1.4599999999999995</v>
      </c>
      <c r="BD136" s="13">
        <f>IF('Données projet'!$A$88&gt;35,BD135+BC136-BL135,IF(A136&lt;'Données projet'!$A$88,$BA$205^A136,IF(A136='Données projet'!$A$88,'Données projet'!$B$88,BD135+BC136-BL135)))</f>
        <v>146.68000000000023</v>
      </c>
      <c r="BE136" s="14">
        <f>BD136*VLOOKUP('Données projet'!$B$11,Paramètres!$A$1:$I$89,3,0)*VLOOKUP('Données projet'!$B$11,Paramètres!$A$1:$I$89,5,0)</f>
        <v>168.97536000000025</v>
      </c>
      <c r="BF136" s="14">
        <f t="shared" si="145"/>
        <v>42.860457628687726</v>
      </c>
      <c r="BG136" s="22">
        <f t="shared" si="115"/>
        <v>368.94738236996483</v>
      </c>
      <c r="BH136" s="62">
        <f t="shared" si="116"/>
        <v>662.28071570329814</v>
      </c>
      <c r="BI136" s="62">
        <f ca="1">AVERAGE(OFFSET($BH$3,0,0,'Données projet'!$E$11+1,1))-AVERAGE(OFFSET($H$3,0,0,'Données projet'!$E$11+1,1))</f>
        <v>165.98015798223548</v>
      </c>
      <c r="BJ136" s="62">
        <f t="shared" si="146"/>
        <v>143.97979034100706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276.65663999999936</v>
      </c>
      <c r="CA136" s="14">
        <f t="shared" si="147"/>
        <v>66.259967597793135</v>
      </c>
      <c r="CB136" s="22">
        <f t="shared" si="118"/>
        <v>597.2464248994886</v>
      </c>
      <c r="CC136" s="62">
        <f t="shared" si="119"/>
        <v>890.57975823282186</v>
      </c>
      <c r="CD136" s="62">
        <f ca="1">AVERAGE(OFFSET($CC$3,0,0,'Données projet'!$E$12+1,1))-AVERAGE(OFFSET($H$3,0,0,'Données projet'!$E$12+1,1))</f>
        <v>335.16942824912076</v>
      </c>
      <c r="CE136" s="62">
        <f t="shared" si="148"/>
        <v>190.00559730122677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152.63300189110146</v>
      </c>
      <c r="T137" s="62">
        <f t="shared" si="142"/>
        <v>236.66430374499453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1.7207861564086646</v>
      </c>
      <c r="AA137" s="23">
        <f>EXP(-LN(2)/25)*AA136+(1-EXP(-LN(2)/25))/(LN(2)/25)*Calculateur!V137*Calculateur!X137*VLOOKUP('Données projet'!$B$9,Paramètres!$A$1:$I$89,3,0)*0.475*44/12</f>
        <v>0.54771263185095476</v>
      </c>
      <c r="AB137" s="23">
        <f>EXP(-LN(2)/2)*AB136+(1-EXP(-LN(2)/2))/(LN(2)/2)*V137*Y137*VLOOKUP('Données projet'!$B$9,Paramètres!$A$1:$I$89,3,0)*0.475*44/12</f>
        <v>6.4992750846849474E-16</v>
      </c>
      <c r="AC137" s="24">
        <f t="shared" si="111"/>
        <v>2.2684987882596199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6.0448999999999993</v>
      </c>
      <c r="AI137" s="14">
        <f>IF('Données projet'!$A$62&gt;35,AI136+AH137-AQ136,IF(A137&lt;'Données projet'!$A$62,$AF$205^A137,IF(A137='Données projet'!$A$62,'Données projet'!$B$62,AI136+AH137-AQ136)))</f>
        <v>596.25160000000119</v>
      </c>
      <c r="AJ137" s="14">
        <f>AI137*VLOOKUP('Données projet'!$B$10,Paramètres!$A$1:$I$89,3,0)*VLOOKUP('Données projet'!$B$10,Paramètres!$A$1:$I$89,5,0)</f>
        <v>651.10674720000134</v>
      </c>
      <c r="AK137" s="14">
        <f t="shared" si="143"/>
        <v>141.15463556573673</v>
      </c>
      <c r="AL137" s="22">
        <f t="shared" si="112"/>
        <v>1379.8552416503271</v>
      </c>
      <c r="AM137" s="62">
        <f t="shared" si="113"/>
        <v>1673.1885749836604</v>
      </c>
      <c r="AN137" s="62">
        <f ca="1">AVERAGE(OFFSET($AM$3,0,0,'Données projet'!$E$10+1,1))-AVERAGE(OFFSET($H$3,0,0,'Données projet'!$E$10+1,1))</f>
        <v>886.54265074144564</v>
      </c>
      <c r="AO137" s="62">
        <f t="shared" si="144"/>
        <v>254.8922423500004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1.4599999999999995</v>
      </c>
      <c r="BD137" s="13">
        <f>IF('Données projet'!$A$88&gt;35,BD136+BC137-BL136,IF(A137&lt;'Données projet'!$A$88,$BA$205^A137,IF(A137='Données projet'!$A$88,'Données projet'!$B$88,BD136+BC137-BL136)))</f>
        <v>148.14000000000024</v>
      </c>
      <c r="BE137" s="14">
        <f>BD137*VLOOKUP('Données projet'!$B$11,Paramètres!$A$1:$I$89,3,0)*VLOOKUP('Données projet'!$B$11,Paramètres!$A$1:$I$89,5,0)</f>
        <v>170.65728000000027</v>
      </c>
      <c r="BF137" s="14">
        <f t="shared" si="145"/>
        <v>43.237199362837963</v>
      </c>
      <c r="BG137" s="22">
        <f t="shared" si="115"/>
        <v>372.53288489027659</v>
      </c>
      <c r="BH137" s="62">
        <f t="shared" si="116"/>
        <v>665.86621822360985</v>
      </c>
      <c r="BI137" s="62">
        <f ca="1">AVERAGE(OFFSET($BH$3,0,0,'Données projet'!$E$11+1,1))-AVERAGE(OFFSET($H$3,0,0,'Données projet'!$E$11+1,1))</f>
        <v>165.98015798223548</v>
      </c>
      <c r="BJ137" s="62">
        <f t="shared" si="146"/>
        <v>143.97979034100706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279.35231999999934</v>
      </c>
      <c r="CA137" s="14">
        <f t="shared" si="147"/>
        <v>66.830117036060372</v>
      </c>
      <c r="CB137" s="22">
        <f t="shared" si="118"/>
        <v>602.93441117113719</v>
      </c>
      <c r="CC137" s="62">
        <f t="shared" si="119"/>
        <v>896.26774450447056</v>
      </c>
      <c r="CD137" s="62">
        <f ca="1">AVERAGE(OFFSET($CC$3,0,0,'Données projet'!$E$12+1,1))-AVERAGE(OFFSET($H$3,0,0,'Données projet'!$E$12+1,1))</f>
        <v>335.16942824912076</v>
      </c>
      <c r="CE137" s="62">
        <f t="shared" si="148"/>
        <v>190.00559730122677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152.63300189110146</v>
      </c>
      <c r="T138" s="62">
        <f t="shared" si="142"/>
        <v>236.66430374499453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1.687042589457409</v>
      </c>
      <c r="AA138" s="23">
        <f>EXP(-LN(2)/25)*AA137+(1-EXP(-LN(2)/25))/(LN(2)/25)*Calculateur!V138*Calculateur!X138*VLOOKUP('Données projet'!$B$9,Paramètres!$A$1:$I$89,3,0)*0.475*44/12</f>
        <v>0.53273540113003492</v>
      </c>
      <c r="AB138" s="23">
        <f>EXP(-LN(2)/2)*AB137+(1-EXP(-LN(2)/2))/(LN(2)/2)*V138*Y138*VLOOKUP('Données projet'!$B$9,Paramètres!$A$1:$I$89,3,0)*0.475*44/12</f>
        <v>4.5956814851774991E-16</v>
      </c>
      <c r="AC138" s="24">
        <f t="shared" si="111"/>
        <v>2.2197779905874442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6.0448999999999993</v>
      </c>
      <c r="AI138" s="14">
        <f>IF('Données projet'!$A$62&gt;35,AI137+AH138-AQ137,IF(A138&lt;'Données projet'!$A$62,$AF$205^A138,IF(A138='Données projet'!$A$62,'Données projet'!$B$62,AI137+AH138-AQ137)))</f>
        <v>602.29650000000117</v>
      </c>
      <c r="AJ138" s="14">
        <f>AI138*VLOOKUP('Données projet'!$B$10,Paramètres!$A$1:$I$89,3,0)*VLOOKUP('Données projet'!$B$10,Paramètres!$A$1:$I$89,5,0)</f>
        <v>657.70777800000121</v>
      </c>
      <c r="AK138" s="14">
        <f t="shared" si="143"/>
        <v>142.41836776262198</v>
      </c>
      <c r="AL138" s="22">
        <f t="shared" si="112"/>
        <v>1393.5530372032354</v>
      </c>
      <c r="AM138" s="62">
        <f t="shared" si="113"/>
        <v>1686.8863705365686</v>
      </c>
      <c r="AN138" s="62">
        <f ca="1">AVERAGE(OFFSET($AM$3,0,0,'Données projet'!$E$10+1,1))-AVERAGE(OFFSET($H$3,0,0,'Données projet'!$E$10+1,1))</f>
        <v>886.54265074144564</v>
      </c>
      <c r="AO138" s="62">
        <f t="shared" si="144"/>
        <v>254.8922423500004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1.4599999999999995</v>
      </c>
      <c r="BD138" s="13">
        <f>IF('Données projet'!$A$88&gt;35,BD137+BC138-BL137,IF(A138&lt;'Données projet'!$A$88,$BA$205^A138,IF(A138='Données projet'!$A$88,'Données projet'!$B$88,BD137+BC138-BL137)))</f>
        <v>149.60000000000025</v>
      </c>
      <c r="BE138" s="14">
        <f>BD138*VLOOKUP('Données projet'!$B$11,Paramètres!$A$1:$I$89,3,0)*VLOOKUP('Données projet'!$B$11,Paramètres!$A$1:$I$89,5,0)</f>
        <v>172.33920000000029</v>
      </c>
      <c r="BF138" s="14">
        <f t="shared" si="145"/>
        <v>43.613509144897989</v>
      </c>
      <c r="BG138" s="22">
        <f t="shared" si="115"/>
        <v>376.11763509403113</v>
      </c>
      <c r="BH138" s="62">
        <f t="shared" si="116"/>
        <v>669.45096842736439</v>
      </c>
      <c r="BI138" s="62">
        <f ca="1">AVERAGE(OFFSET($BH$3,0,0,'Données projet'!$E$11+1,1))-AVERAGE(OFFSET($H$3,0,0,'Données projet'!$E$11+1,1))</f>
        <v>165.98015798223548</v>
      </c>
      <c r="BJ138" s="62">
        <f t="shared" si="146"/>
        <v>143.97979034100706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282.04799999999932</v>
      </c>
      <c r="CA138" s="14">
        <f t="shared" si="147"/>
        <v>67.399626413896073</v>
      </c>
      <c r="CB138" s="22">
        <f t="shared" si="118"/>
        <v>608.62128267086769</v>
      </c>
      <c r="CC138" s="62">
        <f t="shared" si="119"/>
        <v>901.95461600420094</v>
      </c>
      <c r="CD138" s="62">
        <f ca="1">AVERAGE(OFFSET($CC$3,0,0,'Données projet'!$E$12+1,1))-AVERAGE(OFFSET($H$3,0,0,'Données projet'!$E$12+1,1))</f>
        <v>335.16942824912076</v>
      </c>
      <c r="CE138" s="62">
        <f t="shared" si="148"/>
        <v>190.00559730122677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152.63300189110146</v>
      </c>
      <c r="T139" s="62">
        <f t="shared" si="142"/>
        <v>236.66430374499453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1.653960713272524</v>
      </c>
      <c r="AA139" s="23">
        <f>EXP(-LN(2)/25)*AA138+(1-EXP(-LN(2)/25))/(LN(2)/25)*Calculateur!V139*Calculateur!X139*VLOOKUP('Données projet'!$B$9,Paramètres!$A$1:$I$89,3,0)*0.475*44/12</f>
        <v>0.51816772357079699</v>
      </c>
      <c r="AB139" s="23">
        <f>EXP(-LN(2)/2)*AB138+(1-EXP(-LN(2)/2))/(LN(2)/2)*V139*Y139*VLOOKUP('Données projet'!$B$9,Paramètres!$A$1:$I$89,3,0)*0.475*44/12</f>
        <v>3.2496375423424737E-16</v>
      </c>
      <c r="AC139" s="24">
        <f t="shared" si="111"/>
        <v>2.1721284368433214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6.0448999999999993</v>
      </c>
      <c r="AI139" s="14">
        <f>IF('Données projet'!$A$62&gt;35,AI138+AH139-AQ138,IF(A139&lt;'Données projet'!$A$62,$AF$205^A139,IF(A139='Données projet'!$A$62,'Données projet'!$B$62,AI138+AH139-AQ138)))</f>
        <v>608.34140000000116</v>
      </c>
      <c r="AJ139" s="14">
        <f>AI139*VLOOKUP('Données projet'!$B$10,Paramètres!$A$1:$I$89,3,0)*VLOOKUP('Données projet'!$B$10,Paramètres!$A$1:$I$89,5,0)</f>
        <v>664.3088088000012</v>
      </c>
      <c r="AK139" s="14">
        <f t="shared" si="143"/>
        <v>143.68062445388725</v>
      </c>
      <c r="AL139" s="22">
        <f t="shared" si="112"/>
        <v>1407.2482629171889</v>
      </c>
      <c r="AM139" s="62">
        <f t="shared" si="113"/>
        <v>1700.5815962505221</v>
      </c>
      <c r="AN139" s="62">
        <f ca="1">AVERAGE(OFFSET($AM$3,0,0,'Données projet'!$E$10+1,1))-AVERAGE(OFFSET($H$3,0,0,'Données projet'!$E$10+1,1))</f>
        <v>886.54265074144564</v>
      </c>
      <c r="AO139" s="62">
        <f t="shared" si="144"/>
        <v>254.8922423500004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1.4599999999999995</v>
      </c>
      <c r="BD139" s="13">
        <f>IF('Données projet'!$A$88&gt;35,BD138+BC139-BL138,IF(A139&lt;'Données projet'!$A$88,$BA$205^A139,IF(A139='Données projet'!$A$88,'Données projet'!$B$88,BD138+BC139-BL138)))</f>
        <v>151.06000000000026</v>
      </c>
      <c r="BE139" s="14">
        <f>BD139*VLOOKUP('Données projet'!$B$11,Paramètres!$A$1:$I$89,3,0)*VLOOKUP('Données projet'!$B$11,Paramètres!$A$1:$I$89,5,0)</f>
        <v>174.02112000000028</v>
      </c>
      <c r="BF139" s="14">
        <f t="shared" si="145"/>
        <v>43.98939167861392</v>
      </c>
      <c r="BG139" s="22">
        <f t="shared" si="115"/>
        <v>379.70164117358632</v>
      </c>
      <c r="BH139" s="62">
        <f t="shared" si="116"/>
        <v>673.03497450691964</v>
      </c>
      <c r="BI139" s="62">
        <f ca="1">AVERAGE(OFFSET($BH$3,0,0,'Données projet'!$E$11+1,1))-AVERAGE(OFFSET($H$3,0,0,'Données projet'!$E$11+1,1))</f>
        <v>165.98015798223548</v>
      </c>
      <c r="BJ139" s="62">
        <f t="shared" si="146"/>
        <v>143.97979034100706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284.74367999999936</v>
      </c>
      <c r="CA139" s="14">
        <f t="shared" si="147"/>
        <v>67.96850255716771</v>
      </c>
      <c r="CB139" s="22">
        <f t="shared" si="118"/>
        <v>614.30705128706597</v>
      </c>
      <c r="CC139" s="62">
        <f t="shared" si="119"/>
        <v>907.64038462039935</v>
      </c>
      <c r="CD139" s="62">
        <f ca="1">AVERAGE(OFFSET($CC$3,0,0,'Données projet'!$E$12+1,1))-AVERAGE(OFFSET($H$3,0,0,'Données projet'!$E$12+1,1))</f>
        <v>335.16942824912076</v>
      </c>
      <c r="CE139" s="62">
        <f t="shared" si="148"/>
        <v>190.00559730122677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152.63300189110146</v>
      </c>
      <c r="T140" s="62">
        <f t="shared" si="142"/>
        <v>236.66430374499453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1.6215275525016726</v>
      </c>
      <c r="AA140" s="23">
        <f>EXP(-LN(2)/25)*AA139+(1-EXP(-LN(2)/25))/(LN(2)/25)*Calculateur!V140*Calculateur!X140*VLOOKUP('Données projet'!$B$9,Paramètres!$A$1:$I$89,3,0)*0.475*44/12</f>
        <v>0.50399839992049722</v>
      </c>
      <c r="AB140" s="23">
        <f>EXP(-LN(2)/2)*AB139+(1-EXP(-LN(2)/2))/(LN(2)/2)*V140*Y140*VLOOKUP('Données projet'!$B$9,Paramètres!$A$1:$I$89,3,0)*0.475*44/12</f>
        <v>2.2978407425887496E-16</v>
      </c>
      <c r="AC140" s="24">
        <f t="shared" si="111"/>
        <v>2.1255259524221701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6.0448999999999993</v>
      </c>
      <c r="AI140" s="14">
        <f>IF('Données projet'!$A$62&gt;35,AI139+AH140-AQ139,IF(A140&lt;'Données projet'!$A$62,$AF$205^A140,IF(A140='Données projet'!$A$62,'Données projet'!$B$62,AI139+AH140-AQ139)))</f>
        <v>614.38630000000114</v>
      </c>
      <c r="AJ140" s="14">
        <f>AI140*VLOOKUP('Données projet'!$B$10,Paramètres!$A$1:$I$89,3,0)*VLOOKUP('Données projet'!$B$10,Paramètres!$A$1:$I$89,5,0)</f>
        <v>670.90983960000119</v>
      </c>
      <c r="AK140" s="14">
        <f t="shared" si="143"/>
        <v>144.94142199886829</v>
      </c>
      <c r="AL140" s="22">
        <f t="shared" si="112"/>
        <v>1420.9409472846976</v>
      </c>
      <c r="AM140" s="62">
        <f t="shared" si="113"/>
        <v>1714.2742806180308</v>
      </c>
      <c r="AN140" s="62">
        <f ca="1">AVERAGE(OFFSET($AM$3,0,0,'Données projet'!$E$10+1,1))-AVERAGE(OFFSET($H$3,0,0,'Données projet'!$E$10+1,1))</f>
        <v>886.54265074144564</v>
      </c>
      <c r="AO140" s="62">
        <f t="shared" si="144"/>
        <v>254.8922423500004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1.4599999999999995</v>
      </c>
      <c r="BD140" s="13">
        <f>IF('Données projet'!$A$88&gt;35,BD139+BC140-BL139,IF(A140&lt;'Données projet'!$A$88,$BA$205^A140,IF(A140='Données projet'!$A$88,'Données projet'!$B$88,BD139+BC140-BL139)))</f>
        <v>152.52000000000027</v>
      </c>
      <c r="BE140" s="14">
        <f>BD140*VLOOKUP('Données projet'!$B$11,Paramètres!$A$1:$I$89,3,0)*VLOOKUP('Données projet'!$B$11,Paramètres!$A$1:$I$89,5,0)</f>
        <v>175.7030400000003</v>
      </c>
      <c r="BF140" s="14">
        <f t="shared" si="145"/>
        <v>44.364851571566021</v>
      </c>
      <c r="BG140" s="22">
        <f t="shared" si="115"/>
        <v>383.28491115381127</v>
      </c>
      <c r="BH140" s="62">
        <f t="shared" si="116"/>
        <v>676.61824448714458</v>
      </c>
      <c r="BI140" s="62">
        <f ca="1">AVERAGE(OFFSET($BH$3,0,0,'Données projet'!$E$11+1,1))-AVERAGE(OFFSET($H$3,0,0,'Données projet'!$E$11+1,1))</f>
        <v>165.98015798223548</v>
      </c>
      <c r="BJ140" s="62">
        <f t="shared" si="146"/>
        <v>143.97979034100706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287.43935999999928</v>
      </c>
      <c r="CA140" s="14">
        <f t="shared" si="147"/>
        <v>68.536752155048362</v>
      </c>
      <c r="CB140" s="22">
        <f t="shared" si="118"/>
        <v>619.99172867004131</v>
      </c>
      <c r="CC140" s="62">
        <f t="shared" si="119"/>
        <v>913.32506200337457</v>
      </c>
      <c r="CD140" s="62">
        <f ca="1">AVERAGE(OFFSET($CC$3,0,0,'Données projet'!$E$12+1,1))-AVERAGE(OFFSET($H$3,0,0,'Données projet'!$E$12+1,1))</f>
        <v>335.16942824912076</v>
      </c>
      <c r="CE140" s="62">
        <f t="shared" si="148"/>
        <v>190.00559730122677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152.63300189110146</v>
      </c>
      <c r="T141" s="62">
        <f t="shared" si="142"/>
        <v>236.66430374499453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1.5897303862312628</v>
      </c>
      <c r="AA141" s="23">
        <f>EXP(-LN(2)/25)*AA140+(1-EXP(-LN(2)/25))/(LN(2)/25)*Calculateur!V141*Calculateur!X141*VLOOKUP('Données projet'!$B$9,Paramètres!$A$1:$I$89,3,0)*0.475*44/12</f>
        <v>0.49021653717054725</v>
      </c>
      <c r="AB141" s="23">
        <f>EXP(-LN(2)/2)*AB140+(1-EXP(-LN(2)/2))/(LN(2)/2)*V141*Y141*VLOOKUP('Données projet'!$B$9,Paramètres!$A$1:$I$89,3,0)*0.475*44/12</f>
        <v>1.6248187711712368E-16</v>
      </c>
      <c r="AC141" s="24">
        <f t="shared" si="111"/>
        <v>2.0799469234018102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6.0448999999999993</v>
      </c>
      <c r="AI141" s="14">
        <f>IF('Données projet'!$A$62&gt;35,AI140+AH141-AQ140,IF(A141&lt;'Données projet'!$A$62,$AF$205^A141,IF(A141='Données projet'!$A$62,'Données projet'!$B$62,AI140+AH141-AQ140)))</f>
        <v>620.43120000000113</v>
      </c>
      <c r="AJ141" s="14">
        <f>AI141*VLOOKUP('Données projet'!$B$10,Paramètres!$A$1:$I$89,3,0)*VLOOKUP('Données projet'!$B$10,Paramètres!$A$1:$I$89,5,0)</f>
        <v>677.51087040000118</v>
      </c>
      <c r="AK141" s="14">
        <f t="shared" si="143"/>
        <v>146.2007764164276</v>
      </c>
      <c r="AL141" s="22">
        <f t="shared" si="112"/>
        <v>1434.6311182052802</v>
      </c>
      <c r="AM141" s="62">
        <f t="shared" si="113"/>
        <v>1727.9644515386135</v>
      </c>
      <c r="AN141" s="62">
        <f ca="1">AVERAGE(OFFSET($AM$3,0,0,'Données projet'!$E$10+1,1))-AVERAGE(OFFSET($H$3,0,0,'Données projet'!$E$10+1,1))</f>
        <v>886.54265074144564</v>
      </c>
      <c r="AO141" s="62">
        <f t="shared" si="144"/>
        <v>254.8922423500004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1.4599999999999995</v>
      </c>
      <c r="BD141" s="13">
        <f>IF('Données projet'!$A$88&gt;35,BD140+BC141-BL140,IF(A141&lt;'Données projet'!$A$88,$BA$205^A141,IF(A141='Données projet'!$A$88,'Données projet'!$B$88,BD140+BC141-BL140)))</f>
        <v>153.98000000000027</v>
      </c>
      <c r="BE141" s="14">
        <f>BD141*VLOOKUP('Données projet'!$B$11,Paramètres!$A$1:$I$89,3,0)*VLOOKUP('Données projet'!$B$11,Paramètres!$A$1:$I$89,5,0)</f>
        <v>177.38496000000029</v>
      </c>
      <c r="BF141" s="14">
        <f t="shared" si="145"/>
        <v>44.739893338035877</v>
      </c>
      <c r="BG141" s="22">
        <f t="shared" si="115"/>
        <v>386.86745289707966</v>
      </c>
      <c r="BH141" s="62">
        <f t="shared" si="116"/>
        <v>680.20078623041297</v>
      </c>
      <c r="BI141" s="62">
        <f ca="1">AVERAGE(OFFSET($BH$3,0,0,'Données projet'!$E$11+1,1))-AVERAGE(OFFSET($H$3,0,0,'Données projet'!$E$11+1,1))</f>
        <v>165.98015798223548</v>
      </c>
      <c r="BJ141" s="62">
        <f t="shared" si="146"/>
        <v>143.97979034100706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290.13503999999932</v>
      </c>
      <c r="CA141" s="14">
        <f t="shared" si="147"/>
        <v>69.104381764010427</v>
      </c>
      <c r="CB141" s="22">
        <f t="shared" si="118"/>
        <v>625.67532623898353</v>
      </c>
      <c r="CC141" s="62">
        <f t="shared" si="119"/>
        <v>919.0086595723169</v>
      </c>
      <c r="CD141" s="62">
        <f ca="1">AVERAGE(OFFSET($CC$3,0,0,'Données projet'!$E$12+1,1))-AVERAGE(OFFSET($H$3,0,0,'Données projet'!$E$12+1,1))</f>
        <v>335.16942824912076</v>
      </c>
      <c r="CE141" s="62">
        <f t="shared" si="148"/>
        <v>190.00559730122677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152.63300189110146</v>
      </c>
      <c r="T142" s="62">
        <f t="shared" si="142"/>
        <v>236.66430374499453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1.5585567429970595</v>
      </c>
      <c r="AA142" s="23">
        <f>EXP(-LN(2)/25)*AA141+(1-EXP(-LN(2)/25))/(LN(2)/25)*Calculateur!V142*Calculateur!X142*VLOOKUP('Données projet'!$B$9,Paramètres!$A$1:$I$89,3,0)*0.475*44/12</f>
        <v>0.47681154018225136</v>
      </c>
      <c r="AB142" s="23">
        <f>EXP(-LN(2)/2)*AB141+(1-EXP(-LN(2)/2))/(LN(2)/2)*V142*Y142*VLOOKUP('Données projet'!$B$9,Paramètres!$A$1:$I$89,3,0)*0.475*44/12</f>
        <v>1.1489203712943748E-16</v>
      </c>
      <c r="AC142" s="24">
        <f t="shared" si="111"/>
        <v>2.0353682831793107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6.0448999999999993</v>
      </c>
      <c r="AI142" s="14">
        <f>IF('Données projet'!$A$62&gt;35,AI141+AH142-AQ141,IF(A142&lt;'Données projet'!$A$62,$AF$205^A142,IF(A142='Données projet'!$A$62,'Données projet'!$B$62,AI141+AH142-AQ141)))</f>
        <v>626.47610000000111</v>
      </c>
      <c r="AJ142" s="14">
        <f>AI142*VLOOKUP('Données projet'!$B$10,Paramètres!$A$1:$I$89,3,0)*VLOOKUP('Données projet'!$B$10,Paramètres!$A$1:$I$89,5,0)</f>
        <v>684.11190120000117</v>
      </c>
      <c r="AK142" s="14">
        <f t="shared" si="143"/>
        <v>147.4587033952867</v>
      </c>
      <c r="AL142" s="22">
        <f t="shared" si="112"/>
        <v>1448.3188030034598</v>
      </c>
      <c r="AM142" s="62">
        <f t="shared" si="113"/>
        <v>1741.6521363367931</v>
      </c>
      <c r="AN142" s="62">
        <f ca="1">AVERAGE(OFFSET($AM$3,0,0,'Données projet'!$E$10+1,1))-AVERAGE(OFFSET($H$3,0,0,'Données projet'!$E$10+1,1))</f>
        <v>886.54265074144564</v>
      </c>
      <c r="AO142" s="62">
        <f t="shared" si="144"/>
        <v>254.8922423500004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1.4599999999999995</v>
      </c>
      <c r="BD142" s="13">
        <f>IF('Données projet'!$A$88&gt;35,BD141+BC142-BL141,IF(A142&lt;'Données projet'!$A$88,$BA$205^A142,IF(A142='Données projet'!$A$88,'Données projet'!$B$88,BD141+BC142-BL141)))</f>
        <v>155.44000000000028</v>
      </c>
      <c r="BE142" s="14">
        <f>BD142*VLOOKUP('Données projet'!$B$11,Paramètres!$A$1:$I$89,3,0)*VLOOKUP('Données projet'!$B$11,Paramètres!$A$1:$I$89,5,0)</f>
        <v>179.06688000000034</v>
      </c>
      <c r="BF142" s="14">
        <f t="shared" si="145"/>
        <v>45.114521401762396</v>
      </c>
      <c r="BG142" s="22">
        <f t="shared" si="115"/>
        <v>390.44927410807009</v>
      </c>
      <c r="BH142" s="62">
        <f t="shared" si="116"/>
        <v>683.78260744140334</v>
      </c>
      <c r="BI142" s="62">
        <f ca="1">AVERAGE(OFFSET($BH$3,0,0,'Données projet'!$E$11+1,1))-AVERAGE(OFFSET($H$3,0,0,'Données projet'!$E$11+1,1))</f>
        <v>165.98015798223548</v>
      </c>
      <c r="BJ142" s="62">
        <f t="shared" si="146"/>
        <v>143.97979034100706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292.8307199999993</v>
      </c>
      <c r="CA142" s="14">
        <f t="shared" si="147"/>
        <v>69.67139781166567</v>
      </c>
      <c r="CB142" s="22">
        <f t="shared" si="118"/>
        <v>631.35785518864975</v>
      </c>
      <c r="CC142" s="62">
        <f t="shared" si="119"/>
        <v>924.69118852198312</v>
      </c>
      <c r="CD142" s="62">
        <f ca="1">AVERAGE(OFFSET($CC$3,0,0,'Données projet'!$E$12+1,1))-AVERAGE(OFFSET($H$3,0,0,'Données projet'!$E$12+1,1))</f>
        <v>335.16942824912076</v>
      </c>
      <c r="CE142" s="62">
        <f t="shared" si="148"/>
        <v>190.00559730122677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152.63300189110146</v>
      </c>
      <c r="T143" s="62">
        <f t="shared" si="142"/>
        <v>236.66430374499453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1.5279943958926339</v>
      </c>
      <c r="AA143" s="23">
        <f>EXP(-LN(2)/25)*AA142+(1-EXP(-LN(2)/25))/(LN(2)/25)*Calculateur!V143*Calculateur!X143*VLOOKUP('Données projet'!$B$9,Paramètres!$A$1:$I$89,3,0)*0.475*44/12</f>
        <v>0.46377310354153856</v>
      </c>
      <c r="AB143" s="23">
        <f>EXP(-LN(2)/2)*AB142+(1-EXP(-LN(2)/2))/(LN(2)/2)*V143*Y143*VLOOKUP('Données projet'!$B$9,Paramètres!$A$1:$I$89,3,0)*0.475*44/12</f>
        <v>8.1240938558561842E-17</v>
      </c>
      <c r="AC143" s="24">
        <f t="shared" si="111"/>
        <v>1.9917674994341725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6.0448999999999993</v>
      </c>
      <c r="AI143" s="14">
        <f>IF('Données projet'!$A$62&gt;35,AI142+AH143-AQ142,IF(A143&lt;'Données projet'!$A$62,$AF$205^A143,IF(A143='Données projet'!$A$62,'Données projet'!$B$62,AI142+AH143-AQ142)))</f>
        <v>632.5210000000011</v>
      </c>
      <c r="AJ143" s="14">
        <f>AI143*VLOOKUP('Données projet'!$B$10,Paramètres!$A$1:$I$89,3,0)*VLOOKUP('Données projet'!$B$10,Paramètres!$A$1:$I$89,5,0)</f>
        <v>690.71293200000116</v>
      </c>
      <c r="AK143" s="14">
        <f t="shared" si="143"/>
        <v>148.71521830394931</v>
      </c>
      <c r="AL143" s="22">
        <f t="shared" si="112"/>
        <v>1462.0040284460467</v>
      </c>
      <c r="AM143" s="62">
        <f t="shared" si="113"/>
        <v>1755.33736177938</v>
      </c>
      <c r="AN143" s="62">
        <f ca="1">AVERAGE(OFFSET($AM$3,0,0,'Données projet'!$E$10+1,1))-AVERAGE(OFFSET($H$3,0,0,'Données projet'!$E$10+1,1))</f>
        <v>886.54265074144564</v>
      </c>
      <c r="AO143" s="62">
        <f t="shared" si="144"/>
        <v>254.8922423500004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156.9</v>
      </c>
      <c r="BB143" s="13">
        <f>VLOOKUP(A143,'Données projet'!$A$87:$I$107,9,0)</f>
        <v>1.4599999999999995</v>
      </c>
      <c r="BC143" s="13">
        <f t="array" ref="BC143">INDEX(BB:BB,MIN(IF(ISNUMBER(BB143:BB339),ROW(BB143:BB339),"")))</f>
        <v>1.4599999999999995</v>
      </c>
      <c r="BD143" s="13">
        <f>IF('Données projet'!$A$88&gt;35,BD142+BC143-BL142,IF(A143&lt;'Données projet'!$A$88,$BA$205^A143,IF(A143='Données projet'!$A$88,'Données projet'!$B$88,BD142+BC143-BL142)))</f>
        <v>156.90000000000029</v>
      </c>
      <c r="BE143" s="14">
        <f>BD143*VLOOKUP('Données projet'!$B$11,Paramètres!$A$1:$I$89,3,0)*VLOOKUP('Données projet'!$B$11,Paramètres!$A$1:$I$89,5,0)</f>
        <v>180.74880000000033</v>
      </c>
      <c r="BF143" s="14">
        <f t="shared" si="145"/>
        <v>45.488740098590384</v>
      </c>
      <c r="BG143" s="22">
        <f t="shared" si="115"/>
        <v>394.03038233837879</v>
      </c>
      <c r="BH143" s="62">
        <f t="shared" si="116"/>
        <v>687.36371567171204</v>
      </c>
      <c r="BI143" s="62">
        <f ca="1">AVERAGE(OFFSET($BH$3,0,0,'Données projet'!$E$11+1,1))-AVERAGE(OFFSET($H$3,0,0,'Données projet'!$E$11+1,1))</f>
        <v>165.98015798223548</v>
      </c>
      <c r="BJ143" s="62">
        <f t="shared" si="146"/>
        <v>143.97979034100706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12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295.52639999999928</v>
      </c>
      <c r="CA143" s="14">
        <f t="shared" si="147"/>
        <v>70.237806600460402</v>
      </c>
      <c r="CB143" s="22">
        <f t="shared" si="118"/>
        <v>637.03932649580065</v>
      </c>
      <c r="CC143" s="62">
        <f t="shared" si="119"/>
        <v>930.37265982913391</v>
      </c>
      <c r="CD143" s="62">
        <f ca="1">AVERAGE(OFFSET($CC$3,0,0,'Données projet'!$E$12+1,1))-AVERAGE(OFFSET($H$3,0,0,'Données projet'!$E$12+1,1))</f>
        <v>335.16942824912076</v>
      </c>
      <c r="CE143" s="62">
        <f t="shared" si="148"/>
        <v>190.00559730122677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152.63300189110146</v>
      </c>
      <c r="T144" s="62">
        <f t="shared" si="142"/>
        <v>236.66430374499453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1.498031357773735</v>
      </c>
      <c r="AA144" s="23">
        <f>EXP(-LN(2)/25)*AA143+(1-EXP(-LN(2)/25))/(LN(2)/25)*Calculateur!V144*Calculateur!X144*VLOOKUP('Données projet'!$B$9,Paramètres!$A$1:$I$89,3,0)*0.475*44/12</f>
        <v>0.45109120363642763</v>
      </c>
      <c r="AB144" s="23">
        <f>EXP(-LN(2)/2)*AB143+(1-EXP(-LN(2)/2))/(LN(2)/2)*V144*Y144*VLOOKUP('Données projet'!$B$9,Paramètres!$A$1:$I$89,3,0)*0.475*44/12</f>
        <v>5.7446018564718739E-17</v>
      </c>
      <c r="AC144" s="24">
        <f t="shared" si="111"/>
        <v>1.9491225614101626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6.0448999999999993</v>
      </c>
      <c r="AI144" s="14">
        <f>IF('Données projet'!$A$62&gt;35,AI143+AH144-AQ143,IF(A144&lt;'Données projet'!$A$62,$AF$205^A144,IF(A144='Données projet'!$A$62,'Données projet'!$B$62,AI143+AH144-AQ143)))</f>
        <v>638.56590000000108</v>
      </c>
      <c r="AJ144" s="14">
        <f>AI144*VLOOKUP('Données projet'!$B$10,Paramètres!$A$1:$I$89,3,0)*VLOOKUP('Données projet'!$B$10,Paramètres!$A$1:$I$89,5,0)</f>
        <v>697.31396280000115</v>
      </c>
      <c r="AK144" s="14">
        <f t="shared" si="143"/>
        <v>149.97033620023268</v>
      </c>
      <c r="AL144" s="22">
        <f t="shared" si="112"/>
        <v>1475.6868207587406</v>
      </c>
      <c r="AM144" s="62">
        <f t="shared" si="113"/>
        <v>1769.0201540920739</v>
      </c>
      <c r="AN144" s="62">
        <f ca="1">AVERAGE(OFFSET($AM$3,0,0,'Données projet'!$E$10+1,1))-AVERAGE(OFFSET($H$3,0,0,'Données projet'!$E$10+1,1))</f>
        <v>886.54265074144564</v>
      </c>
      <c r="AO144" s="62">
        <f t="shared" si="144"/>
        <v>254.8922423500004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1.3599999999999994</v>
      </c>
      <c r="BD144" s="13">
        <f>IF('Données projet'!$A$88&gt;35,BD143+BC144-BL143,IF(A144&lt;'Données projet'!$A$88,$BA$205^A144,IF(A144='Données projet'!$A$88,'Données projet'!$B$88,BD143+BC144-BL143)))</f>
        <v>146.26000000000028</v>
      </c>
      <c r="BE144" s="14">
        <f>BD144*VLOOKUP('Données projet'!$B$11,Paramètres!$A$1:$I$89,3,0)*VLOOKUP('Données projet'!$B$11,Paramètres!$A$1:$I$89,5,0)</f>
        <v>168.49152000000032</v>
      </c>
      <c r="BF144" s="14">
        <f t="shared" si="145"/>
        <v>42.751999190617646</v>
      </c>
      <c r="BG144" s="22">
        <f t="shared" si="115"/>
        <v>367.91579592365957</v>
      </c>
      <c r="BH144" s="62">
        <f t="shared" si="116"/>
        <v>661.24912925699289</v>
      </c>
      <c r="BI144" s="62">
        <f ca="1">AVERAGE(OFFSET($BH$3,0,0,'Données projet'!$E$11+1,1))-AVERAGE(OFFSET($H$3,0,0,'Données projet'!$E$11+1,1))</f>
        <v>165.98015798223548</v>
      </c>
      <c r="BJ144" s="62">
        <f t="shared" si="146"/>
        <v>143.97979034100706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270.96575999999925</v>
      </c>
      <c r="CA144" s="14">
        <f t="shared" si="147"/>
        <v>65.054185323419134</v>
      </c>
      <c r="CB144" s="22">
        <f t="shared" si="118"/>
        <v>585.23473810495364</v>
      </c>
      <c r="CC144" s="62">
        <f t="shared" si="119"/>
        <v>878.56807143828701</v>
      </c>
      <c r="CD144" s="62">
        <f ca="1">AVERAGE(OFFSET($CC$3,0,0,'Données projet'!$E$12+1,1))-AVERAGE(OFFSET($H$3,0,0,'Données projet'!$E$12+1,1))</f>
        <v>335.16942824912076</v>
      </c>
      <c r="CE144" s="62">
        <f t="shared" si="148"/>
        <v>190.00559730122677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152.63300189110146</v>
      </c>
      <c r="T145" s="62">
        <f t="shared" si="142"/>
        <v>236.66430374499453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1.468655876556699</v>
      </c>
      <c r="AA145" s="23">
        <f>EXP(-LN(2)/25)*AA144+(1-EXP(-LN(2)/25))/(LN(2)/25)*Calculateur!V145*Calculateur!X145*VLOOKUP('Données projet'!$B$9,Paramètres!$A$1:$I$89,3,0)*0.475*44/12</f>
        <v>0.4387560909511341</v>
      </c>
      <c r="AB145" s="23">
        <f>EXP(-LN(2)/2)*AB144+(1-EXP(-LN(2)/2))/(LN(2)/2)*V145*Y145*VLOOKUP('Données projet'!$B$9,Paramètres!$A$1:$I$89,3,0)*0.475*44/12</f>
        <v>4.0620469279280921E-17</v>
      </c>
      <c r="AC145" s="24">
        <f t="shared" si="111"/>
        <v>1.9074119675078332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6.0448999999999993</v>
      </c>
      <c r="AI145" s="14">
        <f>IF('Données projet'!$A$62&gt;35,AI144+AH145-AQ144,IF(A145&lt;'Données projet'!$A$62,$AF$205^A145,IF(A145='Données projet'!$A$62,'Données projet'!$B$62,AI144+AH145-AQ144)))</f>
        <v>644.61080000000106</v>
      </c>
      <c r="AJ145" s="14">
        <f>AI145*VLOOKUP('Données projet'!$B$10,Paramètres!$A$1:$I$89,3,0)*VLOOKUP('Données projet'!$B$10,Paramètres!$A$1:$I$89,5,0)</f>
        <v>703.91499360000114</v>
      </c>
      <c r="AK145" s="14">
        <f t="shared" si="143"/>
        <v>151.22407184042947</v>
      </c>
      <c r="AL145" s="22">
        <f t="shared" si="112"/>
        <v>1489.3672056420835</v>
      </c>
      <c r="AM145" s="62">
        <f t="shared" si="113"/>
        <v>1782.7005389754167</v>
      </c>
      <c r="AN145" s="62">
        <f ca="1">AVERAGE(OFFSET($AM$3,0,0,'Données projet'!$E$10+1,1))-AVERAGE(OFFSET($H$3,0,0,'Données projet'!$E$10+1,1))</f>
        <v>886.54265074144564</v>
      </c>
      <c r="AO145" s="62">
        <f t="shared" si="144"/>
        <v>254.8922423500004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1.3599999999999994</v>
      </c>
      <c r="BD145" s="13">
        <f>IF('Données projet'!$A$88&gt;35,BD144+BC145-BL144,IF(A145&lt;'Données projet'!$A$88,$BA$205^A145,IF(A145='Données projet'!$A$88,'Données projet'!$B$88,BD144+BC145-BL144)))</f>
        <v>147.62000000000029</v>
      </c>
      <c r="BE145" s="14">
        <f>BD145*VLOOKUP('Données projet'!$B$11,Paramètres!$A$1:$I$89,3,0)*VLOOKUP('Données projet'!$B$11,Paramètres!$A$1:$I$89,5,0)</f>
        <v>170.05824000000032</v>
      </c>
      <c r="BF145" s="14">
        <f t="shared" si="145"/>
        <v>43.103067147878029</v>
      </c>
      <c r="BG145" s="22">
        <f t="shared" si="115"/>
        <v>371.25594328255482</v>
      </c>
      <c r="BH145" s="62">
        <f t="shared" si="116"/>
        <v>664.58927661588814</v>
      </c>
      <c r="BI145" s="62">
        <f ca="1">AVERAGE(OFFSET($BH$3,0,0,'Données projet'!$E$11+1,1))-AVERAGE(OFFSET($H$3,0,0,'Données projet'!$E$11+1,1))</f>
        <v>165.98015798223548</v>
      </c>
      <c r="BJ145" s="62">
        <f t="shared" si="146"/>
        <v>143.97979034100706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273.3619199999992</v>
      </c>
      <c r="CA145" s="14">
        <f t="shared" si="147"/>
        <v>65.562238892994074</v>
      </c>
      <c r="CB145" s="22">
        <f t="shared" si="118"/>
        <v>590.29291007196321</v>
      </c>
      <c r="CC145" s="62">
        <f t="shared" si="119"/>
        <v>883.62624340529646</v>
      </c>
      <c r="CD145" s="62">
        <f ca="1">AVERAGE(OFFSET($CC$3,0,0,'Données projet'!$E$12+1,1))-AVERAGE(OFFSET($H$3,0,0,'Données projet'!$E$12+1,1))</f>
        <v>335.16942824912076</v>
      </c>
      <c r="CE145" s="62">
        <f t="shared" si="148"/>
        <v>190.00559730122677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152.63300189110146</v>
      </c>
      <c r="T146" s="62">
        <f t="shared" si="142"/>
        <v>236.66430374499453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1.4398564306090549</v>
      </c>
      <c r="AA146" s="23">
        <f>EXP(-LN(2)/25)*AA145+(1-EXP(-LN(2)/25))/(LN(2)/25)*Calculateur!V146*Calculateur!X146*VLOOKUP('Données projet'!$B$9,Paramètres!$A$1:$I$89,3,0)*0.475*44/12</f>
        <v>0.42675828257089532</v>
      </c>
      <c r="AB146" s="23">
        <f>EXP(-LN(2)/2)*AB145+(1-EXP(-LN(2)/2))/(LN(2)/2)*V146*Y146*VLOOKUP('Données projet'!$B$9,Paramètres!$A$1:$I$89,3,0)*0.475*44/12</f>
        <v>2.8723009282359369E-17</v>
      </c>
      <c r="AC146" s="24">
        <f t="shared" si="111"/>
        <v>1.8666147131799502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6.0448999999999993</v>
      </c>
      <c r="AI146" s="14">
        <f>IF('Données projet'!$A$62&gt;35,AI145+AH146-AQ145,IF(A146&lt;'Données projet'!$A$62,$AF$205^A146,IF(A146='Données projet'!$A$62,'Données projet'!$B$62,AI145+AH146-AQ145)))</f>
        <v>650.65570000000105</v>
      </c>
      <c r="AJ146" s="14">
        <f>AI146*VLOOKUP('Données projet'!$B$10,Paramètres!$A$1:$I$89,3,0)*VLOOKUP('Données projet'!$B$10,Paramètres!$A$1:$I$89,5,0)</f>
        <v>710.51602440000113</v>
      </c>
      <c r="AK146" s="14">
        <f t="shared" si="143"/>
        <v>152.47643968811516</v>
      </c>
      <c r="AL146" s="22">
        <f t="shared" si="112"/>
        <v>1503.0452082868023</v>
      </c>
      <c r="AM146" s="62">
        <f t="shared" si="113"/>
        <v>1796.3785416201356</v>
      </c>
      <c r="AN146" s="62">
        <f ca="1">AVERAGE(OFFSET($AM$3,0,0,'Données projet'!$E$10+1,1))-AVERAGE(OFFSET($H$3,0,0,'Données projet'!$E$10+1,1))</f>
        <v>886.54265074144564</v>
      </c>
      <c r="AO146" s="62">
        <f t="shared" si="144"/>
        <v>254.8922423500004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1.3599999999999994</v>
      </c>
      <c r="BD146" s="13">
        <f>IF('Données projet'!$A$88&gt;35,BD145+BC146-BL145,IF(A146&lt;'Données projet'!$A$88,$BA$205^A146,IF(A146='Données projet'!$A$88,'Données projet'!$B$88,BD145+BC146-BL145)))</f>
        <v>148.9800000000003</v>
      </c>
      <c r="BE146" s="14">
        <f>BD146*VLOOKUP('Données projet'!$B$11,Paramètres!$A$1:$I$89,3,0)*VLOOKUP('Données projet'!$B$11,Paramètres!$A$1:$I$89,5,0)</f>
        <v>171.62496000000036</v>
      </c>
      <c r="BF146" s="14">
        <f t="shared" si="145"/>
        <v>43.453758824791912</v>
      </c>
      <c r="BG146" s="22">
        <f t="shared" si="115"/>
        <v>374.59543528651312</v>
      </c>
      <c r="BH146" s="62">
        <f t="shared" si="116"/>
        <v>667.92876861984644</v>
      </c>
      <c r="BI146" s="62">
        <f ca="1">AVERAGE(OFFSET($BH$3,0,0,'Données projet'!$E$11+1,1))-AVERAGE(OFFSET($H$3,0,0,'Données projet'!$E$11+1,1))</f>
        <v>165.98015798223548</v>
      </c>
      <c r="BJ146" s="62">
        <f t="shared" si="146"/>
        <v>143.97979034100706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275.75807999999921</v>
      </c>
      <c r="CA146" s="14">
        <f t="shared" si="147"/>
        <v>66.069774349401712</v>
      </c>
      <c r="CB146" s="22">
        <f t="shared" si="118"/>
        <v>595.3501796585399</v>
      </c>
      <c r="CC146" s="62">
        <f t="shared" si="119"/>
        <v>888.68351299187316</v>
      </c>
      <c r="CD146" s="62">
        <f ca="1">AVERAGE(OFFSET($CC$3,0,0,'Données projet'!$E$12+1,1))-AVERAGE(OFFSET($H$3,0,0,'Données projet'!$E$12+1,1))</f>
        <v>335.16942824912076</v>
      </c>
      <c r="CE146" s="62">
        <f t="shared" si="148"/>
        <v>190.00559730122677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152.63300189110146</v>
      </c>
      <c r="T147" s="62">
        <f t="shared" si="142"/>
        <v>236.66430374499453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1.4116217242305165</v>
      </c>
      <c r="AA147" s="23">
        <f>EXP(-LN(2)/25)*AA146+(1-EXP(-LN(2)/25))/(LN(2)/25)*Calculateur!V147*Calculateur!X147*VLOOKUP('Données projet'!$B$9,Paramètres!$A$1:$I$89,3,0)*0.475*44/12</f>
        <v>0.41508855489175145</v>
      </c>
      <c r="AB147" s="23">
        <f>EXP(-LN(2)/2)*AB146+(1-EXP(-LN(2)/2))/(LN(2)/2)*V147*Y147*VLOOKUP('Données projet'!$B$9,Paramètres!$A$1:$I$89,3,0)*0.475*44/12</f>
        <v>2.0310234639640461E-17</v>
      </c>
      <c r="AC147" s="24">
        <f t="shared" si="111"/>
        <v>1.8267102791222678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6.0448999999999993</v>
      </c>
      <c r="AI147" s="14">
        <f>IF('Données projet'!$A$62&gt;35,AI146+AH147-AQ146,IF(A147&lt;'Données projet'!$A$62,$AF$205^A147,IF(A147='Données projet'!$A$62,'Données projet'!$B$62,AI146+AH147-AQ146)))</f>
        <v>656.70060000000103</v>
      </c>
      <c r="AJ147" s="14">
        <f>AI147*VLOOKUP('Données projet'!$B$10,Paramètres!$A$1:$I$89,3,0)*VLOOKUP('Données projet'!$B$10,Paramètres!$A$1:$I$89,5,0)</f>
        <v>717.11705520000112</v>
      </c>
      <c r="AK147" s="14">
        <f t="shared" si="143"/>
        <v>153.72745392261842</v>
      </c>
      <c r="AL147" s="22">
        <f t="shared" si="112"/>
        <v>1516.7208533885623</v>
      </c>
      <c r="AM147" s="62">
        <f t="shared" si="113"/>
        <v>1810.0541867218956</v>
      </c>
      <c r="AN147" s="62">
        <f ca="1">AVERAGE(OFFSET($AM$3,0,0,'Données projet'!$E$10+1,1))-AVERAGE(OFFSET($H$3,0,0,'Données projet'!$E$10+1,1))</f>
        <v>886.54265074144564</v>
      </c>
      <c r="AO147" s="62">
        <f t="shared" si="144"/>
        <v>254.8922423500004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1.3599999999999994</v>
      </c>
      <c r="BD147" s="13">
        <f>IF('Données projet'!$A$88&gt;35,BD146+BC147-BL146,IF(A147&lt;'Données projet'!$A$88,$BA$205^A147,IF(A147='Données projet'!$A$88,'Données projet'!$B$88,BD146+BC147-BL146)))</f>
        <v>150.34000000000032</v>
      </c>
      <c r="BE147" s="14">
        <f>BD147*VLOOKUP('Données projet'!$B$11,Paramètres!$A$1:$I$89,3,0)*VLOOKUP('Données projet'!$B$11,Paramètres!$A$1:$I$89,5,0)</f>
        <v>173.19168000000033</v>
      </c>
      <c r="BF147" s="14">
        <f t="shared" si="145"/>
        <v>43.804078054225798</v>
      </c>
      <c r="BG147" s="22">
        <f t="shared" si="115"/>
        <v>377.93427861111053</v>
      </c>
      <c r="BH147" s="62">
        <f t="shared" si="116"/>
        <v>671.26761194444384</v>
      </c>
      <c r="BI147" s="62">
        <f ca="1">AVERAGE(OFFSET($BH$3,0,0,'Données projet'!$E$11+1,1))-AVERAGE(OFFSET($H$3,0,0,'Données projet'!$E$11+1,1))</f>
        <v>165.98015798223548</v>
      </c>
      <c r="BJ147" s="62">
        <f t="shared" si="146"/>
        <v>143.97979034100706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278.15423999999916</v>
      </c>
      <c r="CA147" s="14">
        <f t="shared" si="147"/>
        <v>66.576796716338393</v>
      </c>
      <c r="CB147" s="22">
        <f t="shared" si="118"/>
        <v>600.40655561428787</v>
      </c>
      <c r="CC147" s="62">
        <f t="shared" si="119"/>
        <v>893.73988894762124</v>
      </c>
      <c r="CD147" s="62">
        <f ca="1">AVERAGE(OFFSET($CC$3,0,0,'Données projet'!$E$12+1,1))-AVERAGE(OFFSET($H$3,0,0,'Données projet'!$E$12+1,1))</f>
        <v>335.16942824912076</v>
      </c>
      <c r="CE147" s="62">
        <f t="shared" si="148"/>
        <v>190.00559730122677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152.63300189110146</v>
      </c>
      <c r="T148" s="62">
        <f t="shared" si="142"/>
        <v>236.66430374499453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1.3839406832225907</v>
      </c>
      <c r="AA148" s="23">
        <f>EXP(-LN(2)/25)*AA147+(1-EXP(-LN(2)/25))/(LN(2)/25)*Calculateur!V148*Calculateur!X148*VLOOKUP('Données projet'!$B$9,Paramètres!$A$1:$I$89,3,0)*0.475*44/12</f>
        <v>0.4037379365296781</v>
      </c>
      <c r="AB148" s="23">
        <f>EXP(-LN(2)/2)*AB147+(1-EXP(-LN(2)/2))/(LN(2)/2)*V148*Y148*VLOOKUP('Données projet'!$B$9,Paramètres!$A$1:$I$89,3,0)*0.475*44/12</f>
        <v>1.4361504641179685E-17</v>
      </c>
      <c r="AC148" s="24">
        <f t="shared" si="111"/>
        <v>1.7876786197522687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6.0448999999999993</v>
      </c>
      <c r="AI148" s="14">
        <f>IF('Données projet'!$A$62&gt;35,AI147+AH148-AQ147,IF(A148&lt;'Données projet'!$A$62,$AF$205^A148,IF(A148='Données projet'!$A$62,'Données projet'!$B$62,AI147+AH148-AQ147)))</f>
        <v>662.74550000000102</v>
      </c>
      <c r="AJ148" s="14">
        <f>AI148*VLOOKUP('Données projet'!$B$10,Paramètres!$A$1:$I$89,3,0)*VLOOKUP('Données projet'!$B$10,Paramètres!$A$1:$I$89,5,0)</f>
        <v>723.71808600000111</v>
      </c>
      <c r="AK148" s="14">
        <f t="shared" si="143"/>
        <v>154.97712844717168</v>
      </c>
      <c r="AL148" s="22">
        <f t="shared" si="112"/>
        <v>1530.3941651621592</v>
      </c>
      <c r="AM148" s="62">
        <f t="shared" si="113"/>
        <v>1823.7274984954925</v>
      </c>
      <c r="AN148" s="62">
        <f ca="1">AVERAGE(OFFSET($AM$3,0,0,'Données projet'!$E$10+1,1))-AVERAGE(OFFSET($H$3,0,0,'Données projet'!$E$10+1,1))</f>
        <v>886.54265074144564</v>
      </c>
      <c r="AO148" s="62">
        <f t="shared" si="144"/>
        <v>254.8922423500004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1.3599999999999994</v>
      </c>
      <c r="BD148" s="13">
        <f>IF('Données projet'!$A$88&gt;35,BD147+BC148-BL147,IF(A148&lt;'Données projet'!$A$88,$BA$205^A148,IF(A148='Données projet'!$A$88,'Données projet'!$B$88,BD147+BC148-BL147)))</f>
        <v>151.70000000000033</v>
      </c>
      <c r="BE148" s="14">
        <f>BD148*VLOOKUP('Données projet'!$B$11,Paramètres!$A$1:$I$89,3,0)*VLOOKUP('Données projet'!$B$11,Paramètres!$A$1:$I$89,5,0)</f>
        <v>174.75840000000036</v>
      </c>
      <c r="BF148" s="14">
        <f t="shared" si="145"/>
        <v>44.15402859570051</v>
      </c>
      <c r="BG148" s="22">
        <f t="shared" si="115"/>
        <v>381.272479804179</v>
      </c>
      <c r="BH148" s="62">
        <f t="shared" si="116"/>
        <v>674.60581313751231</v>
      </c>
      <c r="BI148" s="62">
        <f ca="1">AVERAGE(OFFSET($BH$3,0,0,'Données projet'!$E$11+1,1))-AVERAGE(OFFSET($H$3,0,0,'Données projet'!$E$11+1,1))</f>
        <v>165.98015798223548</v>
      </c>
      <c r="BJ148" s="62">
        <f t="shared" si="146"/>
        <v>143.97979034100706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280.55039999999917</v>
      </c>
      <c r="CA148" s="14">
        <f t="shared" si="147"/>
        <v>67.083310925952389</v>
      </c>
      <c r="CB148" s="22">
        <f t="shared" si="118"/>
        <v>605.46204652936558</v>
      </c>
      <c r="CC148" s="62">
        <f t="shared" si="119"/>
        <v>898.79537986269884</v>
      </c>
      <c r="CD148" s="62">
        <f ca="1">AVERAGE(OFFSET($CC$3,0,0,'Données projet'!$E$12+1,1))-AVERAGE(OFFSET($H$3,0,0,'Données projet'!$E$12+1,1))</f>
        <v>335.16942824912076</v>
      </c>
      <c r="CE148" s="62">
        <f t="shared" si="148"/>
        <v>190.00559730122677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152.63300189110146</v>
      </c>
      <c r="T149" s="62">
        <f t="shared" si="142"/>
        <v>236.66430374499453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1.3568024505450624</v>
      </c>
      <c r="AA149" s="23">
        <f>EXP(-LN(2)/25)*AA148+(1-EXP(-LN(2)/25))/(LN(2)/25)*Calculateur!V149*Calculateur!X149*VLOOKUP('Données projet'!$B$9,Paramètres!$A$1:$I$89,3,0)*0.475*44/12</f>
        <v>0.39269770142361871</v>
      </c>
      <c r="AB149" s="23">
        <f>EXP(-LN(2)/2)*AB148+(1-EXP(-LN(2)/2))/(LN(2)/2)*V149*Y149*VLOOKUP('Données projet'!$B$9,Paramètres!$A$1:$I$89,3,0)*0.475*44/12</f>
        <v>1.015511731982023E-17</v>
      </c>
      <c r="AC149" s="24">
        <f t="shared" si="111"/>
        <v>1.749500151968681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6.0448999999999993</v>
      </c>
      <c r="AI149" s="14">
        <f>IF('Données projet'!$A$62&gt;35,AI148+AH149-AQ148,IF(A149&lt;'Données projet'!$A$62,$AF$205^A149,IF(A149='Données projet'!$A$62,'Données projet'!$B$62,AI148+AH149-AQ148)))</f>
        <v>668.790400000001</v>
      </c>
      <c r="AJ149" s="14">
        <f>AI149*VLOOKUP('Données projet'!$B$10,Paramètres!$A$1:$I$89,3,0)*VLOOKUP('Données projet'!$B$10,Paramètres!$A$1:$I$89,5,0)</f>
        <v>730.3191168000011</v>
      </c>
      <c r="AK149" s="14">
        <f t="shared" si="143"/>
        <v>156.22547689675525</v>
      </c>
      <c r="AL149" s="22">
        <f t="shared" si="112"/>
        <v>1544.0651673551838</v>
      </c>
      <c r="AM149" s="62">
        <f t="shared" si="113"/>
        <v>1837.3985006885171</v>
      </c>
      <c r="AN149" s="62">
        <f ca="1">AVERAGE(OFFSET($AM$3,0,0,'Données projet'!$E$10+1,1))-AVERAGE(OFFSET($H$3,0,0,'Données projet'!$E$10+1,1))</f>
        <v>886.54265074144564</v>
      </c>
      <c r="AO149" s="62">
        <f t="shared" si="144"/>
        <v>254.8922423500004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1.3599999999999994</v>
      </c>
      <c r="BD149" s="13">
        <f>IF('Données projet'!$A$88&gt;35,BD148+BC149-BL148,IF(A149&lt;'Données projet'!$A$88,$BA$205^A149,IF(A149='Données projet'!$A$88,'Données projet'!$B$88,BD148+BC149-BL148)))</f>
        <v>153.06000000000034</v>
      </c>
      <c r="BE149" s="14">
        <f>BD149*VLOOKUP('Données projet'!$B$11,Paramètres!$A$1:$I$89,3,0)*VLOOKUP('Données projet'!$B$11,Paramètres!$A$1:$I$89,5,0)</f>
        <v>176.32512000000037</v>
      </c>
      <c r="BF149" s="14">
        <f t="shared" si="145"/>
        <v>44.503614137439406</v>
      </c>
      <c r="BG149" s="22">
        <f t="shared" si="115"/>
        <v>384.61004528937428</v>
      </c>
      <c r="BH149" s="62">
        <f t="shared" si="116"/>
        <v>677.94337862270754</v>
      </c>
      <c r="BI149" s="62">
        <f ca="1">AVERAGE(OFFSET($BH$3,0,0,'Données projet'!$E$11+1,1))-AVERAGE(OFFSET($H$3,0,0,'Données projet'!$E$11+1,1))</f>
        <v>165.98015798223548</v>
      </c>
      <c r="BJ149" s="62">
        <f t="shared" si="146"/>
        <v>143.97979034100706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282.94655999999912</v>
      </c>
      <c r="CA149" s="14">
        <f t="shared" si="147"/>
        <v>67.589321821279469</v>
      </c>
      <c r="CB149" s="22">
        <f t="shared" si="118"/>
        <v>610.51666083872692</v>
      </c>
      <c r="CC149" s="62">
        <f t="shared" si="119"/>
        <v>903.84999417206018</v>
      </c>
      <c r="CD149" s="62">
        <f ca="1">AVERAGE(OFFSET($CC$3,0,0,'Données projet'!$E$12+1,1))-AVERAGE(OFFSET($H$3,0,0,'Données projet'!$E$12+1,1))</f>
        <v>335.16942824912076</v>
      </c>
      <c r="CE149" s="62">
        <f t="shared" si="148"/>
        <v>190.00559730122677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152.63300189110146</v>
      </c>
      <c r="T150" s="62">
        <f t="shared" si="142"/>
        <v>236.66430374499453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1.330196382057653</v>
      </c>
      <c r="AA150" s="23">
        <f>EXP(-LN(2)/25)*AA149+(1-EXP(-LN(2)/25))/(LN(2)/25)*Calculateur!V150*Calculateur!X150*VLOOKUP('Données projet'!$B$9,Paramètres!$A$1:$I$89,3,0)*0.475*44/12</f>
        <v>0.38195936212711523</v>
      </c>
      <c r="AB150" s="23">
        <f>EXP(-LN(2)/2)*AB149+(1-EXP(-LN(2)/2))/(LN(2)/2)*V150*Y150*VLOOKUP('Données projet'!$B$9,Paramètres!$A$1:$I$89,3,0)*0.475*44/12</f>
        <v>7.1807523205898424E-18</v>
      </c>
      <c r="AC150" s="24">
        <f t="shared" si="111"/>
        <v>1.7121557441847681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6.0448999999999993</v>
      </c>
      <c r="AI150" s="14">
        <f>IF('Données projet'!$A$62&gt;35,AI149+AH150-AQ149,IF(A150&lt;'Données projet'!$A$62,$AF$205^A150,IF(A150='Données projet'!$A$62,'Données projet'!$B$62,AI149+AH150-AQ149)))</f>
        <v>674.83530000000098</v>
      </c>
      <c r="AJ150" s="14">
        <f>AI150*VLOOKUP('Données projet'!$B$10,Paramètres!$A$1:$I$89,3,0)*VLOOKUP('Données projet'!$B$10,Paramètres!$A$1:$I$89,5,0)</f>
        <v>736.92014760000109</v>
      </c>
      <c r="AK150" s="14">
        <f t="shared" si="143"/>
        <v>157.47251264564983</v>
      </c>
      <c r="AL150" s="22">
        <f t="shared" si="112"/>
        <v>1557.7338832611752</v>
      </c>
      <c r="AM150" s="62">
        <f t="shared" si="113"/>
        <v>1851.0672165945084</v>
      </c>
      <c r="AN150" s="62">
        <f ca="1">AVERAGE(OFFSET($AM$3,0,0,'Données projet'!$E$10+1,1))-AVERAGE(OFFSET($H$3,0,0,'Données projet'!$E$10+1,1))</f>
        <v>886.54265074144564</v>
      </c>
      <c r="AO150" s="62">
        <f t="shared" si="144"/>
        <v>254.8922423500004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1.3599999999999994</v>
      </c>
      <c r="BD150" s="13">
        <f>IF('Données projet'!$A$88&gt;35,BD149+BC150-BL149,IF(A150&lt;'Données projet'!$A$88,$BA$205^A150,IF(A150='Données projet'!$A$88,'Données projet'!$B$88,BD149+BC150-BL149)))</f>
        <v>154.42000000000036</v>
      </c>
      <c r="BE150" s="14">
        <f>BD150*VLOOKUP('Données projet'!$B$11,Paramètres!$A$1:$I$89,3,0)*VLOOKUP('Données projet'!$B$11,Paramètres!$A$1:$I$89,5,0)</f>
        <v>177.8918400000004</v>
      </c>
      <c r="BF150" s="14">
        <f t="shared" si="145"/>
        <v>44.852838298341645</v>
      </c>
      <c r="BG150" s="22">
        <f t="shared" si="115"/>
        <v>387.94698136961239</v>
      </c>
      <c r="BH150" s="62">
        <f t="shared" si="116"/>
        <v>681.2803147029457</v>
      </c>
      <c r="BI150" s="62">
        <f ca="1">AVERAGE(OFFSET($BH$3,0,0,'Données projet'!$E$11+1,1))-AVERAGE(OFFSET($H$3,0,0,'Données projet'!$E$11+1,1))</f>
        <v>165.98015798223548</v>
      </c>
      <c r="BJ150" s="62">
        <f t="shared" si="146"/>
        <v>143.97979034100706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285.34271999999913</v>
      </c>
      <c r="CA150" s="14">
        <f t="shared" si="147"/>
        <v>68.094834158593628</v>
      </c>
      <c r="CB150" s="22">
        <f t="shared" si="118"/>
        <v>615.57040682621573</v>
      </c>
      <c r="CC150" s="62">
        <f t="shared" si="119"/>
        <v>908.90374015954899</v>
      </c>
      <c r="CD150" s="62">
        <f ca="1">AVERAGE(OFFSET($CC$3,0,0,'Données projet'!$E$12+1,1))-AVERAGE(OFFSET($H$3,0,0,'Données projet'!$E$12+1,1))</f>
        <v>335.16942824912076</v>
      </c>
      <c r="CE150" s="62">
        <f t="shared" si="148"/>
        <v>190.00559730122677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152.63300189110146</v>
      </c>
      <c r="T151" s="62">
        <f t="shared" si="142"/>
        <v>236.66430374499453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1.3041120423451824</v>
      </c>
      <c r="AA151" s="23">
        <f>EXP(-LN(2)/25)*AA150+(1-EXP(-LN(2)/25))/(LN(2)/25)*Calculateur!V151*Calculateur!X151*VLOOKUP('Données projet'!$B$9,Paramètres!$A$1:$I$89,3,0)*0.475*44/12</f>
        <v>0.3715146632833794</v>
      </c>
      <c r="AB151" s="23">
        <f>EXP(-LN(2)/2)*AB150+(1-EXP(-LN(2)/2))/(LN(2)/2)*V151*Y151*VLOOKUP('Données projet'!$B$9,Paramètres!$A$1:$I$89,3,0)*0.475*44/12</f>
        <v>5.0775586599101151E-18</v>
      </c>
      <c r="AC151" s="24">
        <f t="shared" si="111"/>
        <v>1.6756267056285619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6.0448999999999993</v>
      </c>
      <c r="AI151" s="14">
        <f>IF('Données projet'!$A$62&gt;35,AI150+AH151-AQ150,IF(A151&lt;'Données projet'!$A$62,$AF$205^A151,IF(A151='Données projet'!$A$62,'Données projet'!$B$62,AI150+AH151-AQ150)))</f>
        <v>680.88020000000097</v>
      </c>
      <c r="AJ151" s="14">
        <f>AI151*VLOOKUP('Données projet'!$B$10,Paramètres!$A$1:$I$89,3,0)*VLOOKUP('Données projet'!$B$10,Paramètres!$A$1:$I$89,5,0)</f>
        <v>743.52117840000108</v>
      </c>
      <c r="AK151" s="14">
        <f t="shared" si="143"/>
        <v>158.71824881471071</v>
      </c>
      <c r="AL151" s="22">
        <f t="shared" si="112"/>
        <v>1571.4003357322897</v>
      </c>
      <c r="AM151" s="62">
        <f t="shared" si="113"/>
        <v>1864.733669065623</v>
      </c>
      <c r="AN151" s="62">
        <f ca="1">AVERAGE(OFFSET($AM$3,0,0,'Données projet'!$E$10+1,1))-AVERAGE(OFFSET($H$3,0,0,'Données projet'!$E$10+1,1))</f>
        <v>886.54265074144564</v>
      </c>
      <c r="AO151" s="62">
        <f t="shared" si="144"/>
        <v>254.8922423500004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1.3599999999999994</v>
      </c>
      <c r="BD151" s="13">
        <f>IF('Données projet'!$A$88&gt;35,BD150+BC151-BL150,IF(A151&lt;'Données projet'!$A$88,$BA$205^A151,IF(A151='Données projet'!$A$88,'Données projet'!$B$88,BD150+BC151-BL150)))</f>
        <v>155.78000000000037</v>
      </c>
      <c r="BE151" s="14">
        <f>BD151*VLOOKUP('Données projet'!$B$11,Paramètres!$A$1:$I$89,3,0)*VLOOKUP('Données projet'!$B$11,Paramètres!$A$1:$I$89,5,0)</f>
        <v>179.4585600000004</v>
      </c>
      <c r="BF151" s="14">
        <f t="shared" si="145"/>
        <v>45.201704629884112</v>
      </c>
      <c r="BG151" s="22">
        <f t="shared" si="115"/>
        <v>391.28329423038218</v>
      </c>
      <c r="BH151" s="62">
        <f t="shared" si="116"/>
        <v>684.6166275637155</v>
      </c>
      <c r="BI151" s="62">
        <f ca="1">AVERAGE(OFFSET($BH$3,0,0,'Données projet'!$E$11+1,1))-AVERAGE(OFFSET($H$3,0,0,'Données projet'!$E$11+1,1))</f>
        <v>165.98015798223548</v>
      </c>
      <c r="BJ151" s="62">
        <f t="shared" si="146"/>
        <v>143.97979034100706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287.73887999999909</v>
      </c>
      <c r="CA151" s="14">
        <f t="shared" si="147"/>
        <v>68.599852609676788</v>
      </c>
      <c r="CB151" s="22">
        <f t="shared" si="118"/>
        <v>620.62329262851881</v>
      </c>
      <c r="CC151" s="62">
        <f t="shared" si="119"/>
        <v>913.95662596185207</v>
      </c>
      <c r="CD151" s="62">
        <f ca="1">AVERAGE(OFFSET($CC$3,0,0,'Données projet'!$E$12+1,1))-AVERAGE(OFFSET($H$3,0,0,'Données projet'!$E$12+1,1))</f>
        <v>335.16942824912076</v>
      </c>
      <c r="CE151" s="62">
        <f t="shared" si="148"/>
        <v>190.00559730122677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152.63300189110146</v>
      </c>
      <c r="T152" s="62">
        <f t="shared" si="142"/>
        <v>236.66430374499453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1.278539200624597</v>
      </c>
      <c r="AA152" s="23">
        <f>EXP(-LN(2)/25)*AA151+(1-EXP(-LN(2)/25))/(LN(2)/25)*Calculateur!V152*Calculateur!X152*VLOOKUP('Données projet'!$B$9,Paramètres!$A$1:$I$89,3,0)*0.475*44/12</f>
        <v>0.36135557527878837</v>
      </c>
      <c r="AB152" s="23">
        <f>EXP(-LN(2)/2)*AB151+(1-EXP(-LN(2)/2))/(LN(2)/2)*V152*Y152*VLOOKUP('Données projet'!$B$9,Paramètres!$A$1:$I$89,3,0)*0.475*44/12</f>
        <v>3.5903761602949212E-18</v>
      </c>
      <c r="AC152" s="24">
        <f t="shared" si="111"/>
        <v>1.6398947759033855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6.0448999999999993</v>
      </c>
      <c r="AI152" s="14">
        <f>IF('Données projet'!$A$62&gt;35,AI151+AH152-AQ151,IF(A152&lt;'Données projet'!$A$62,$AF$205^A152,IF(A152='Données projet'!$A$62,'Données projet'!$B$62,AI151+AH152-AQ151)))</f>
        <v>686.92510000000095</v>
      </c>
      <c r="AJ152" s="14">
        <f>AI152*VLOOKUP('Données projet'!$B$10,Paramètres!$A$1:$I$89,3,0)*VLOOKUP('Données projet'!$B$10,Paramètres!$A$1:$I$89,5,0)</f>
        <v>750.12220920000107</v>
      </c>
      <c r="AK152" s="14">
        <f t="shared" si="143"/>
        <v>159.96269827837537</v>
      </c>
      <c r="AL152" s="22">
        <f t="shared" si="112"/>
        <v>1585.0645471915057</v>
      </c>
      <c r="AM152" s="62">
        <f t="shared" si="113"/>
        <v>1878.3978805248389</v>
      </c>
      <c r="AN152" s="62">
        <f ca="1">AVERAGE(OFFSET($AM$3,0,0,'Données projet'!$E$10+1,1))-AVERAGE(OFFSET($H$3,0,0,'Données projet'!$E$10+1,1))</f>
        <v>886.54265074144564</v>
      </c>
      <c r="AO152" s="62">
        <f t="shared" si="144"/>
        <v>254.8922423500004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1.3599999999999994</v>
      </c>
      <c r="BD152" s="13">
        <f>IF('Données projet'!$A$88&gt;35,BD151+BC152-BL151,IF(A152&lt;'Données projet'!$A$88,$BA$205^A152,IF(A152='Données projet'!$A$88,'Données projet'!$B$88,BD151+BC152-BL151)))</f>
        <v>157.14000000000038</v>
      </c>
      <c r="BE152" s="14">
        <f>BD152*VLOOKUP('Données projet'!$B$11,Paramètres!$A$1:$I$89,3,0)*VLOOKUP('Données projet'!$B$11,Paramètres!$A$1:$I$89,5,0)</f>
        <v>181.02528000000044</v>
      </c>
      <c r="BF152" s="14">
        <f t="shared" si="145"/>
        <v>45.550216617954874</v>
      </c>
      <c r="BG152" s="22">
        <f t="shared" si="115"/>
        <v>394.61898994293887</v>
      </c>
      <c r="BH152" s="62">
        <f t="shared" si="116"/>
        <v>687.95232327627218</v>
      </c>
      <c r="BI152" s="62">
        <f ca="1">AVERAGE(OFFSET($BH$3,0,0,'Données projet'!$E$11+1,1))-AVERAGE(OFFSET($H$3,0,0,'Données projet'!$E$11+1,1))</f>
        <v>165.98015798223548</v>
      </c>
      <c r="BJ152" s="62">
        <f t="shared" si="146"/>
        <v>143.97979034100706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290.13503999999909</v>
      </c>
      <c r="CA152" s="14">
        <f t="shared" si="147"/>
        <v>69.104381764010355</v>
      </c>
      <c r="CB152" s="22">
        <f t="shared" si="118"/>
        <v>625.67532623898308</v>
      </c>
      <c r="CC152" s="62">
        <f t="shared" si="119"/>
        <v>919.00865957231645</v>
      </c>
      <c r="CD152" s="62">
        <f ca="1">AVERAGE(OFFSET($CC$3,0,0,'Données projet'!$E$12+1,1))-AVERAGE(OFFSET($H$3,0,0,'Données projet'!$E$12+1,1))</f>
        <v>335.16942824912076</v>
      </c>
      <c r="CE152" s="62">
        <f t="shared" si="148"/>
        <v>190.00559730122677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152.63300189110146</v>
      </c>
      <c r="T153" s="62">
        <f t="shared" si="142"/>
        <v>236.66430374499453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1.253467826732259</v>
      </c>
      <c r="AA153" s="23">
        <f>EXP(-LN(2)/25)*AA152+(1-EXP(-LN(2)/25))/(LN(2)/25)*Calculateur!V153*Calculateur!X153*VLOOKUP('Données projet'!$B$9,Paramètres!$A$1:$I$89,3,0)*0.475*44/12</f>
        <v>0.35147428806992609</v>
      </c>
      <c r="AB153" s="23">
        <f>EXP(-LN(2)/2)*AB152+(1-EXP(-LN(2)/2))/(LN(2)/2)*V153*Y153*VLOOKUP('Données projet'!$B$9,Paramètres!$A$1:$I$89,3,0)*0.475*44/12</f>
        <v>2.5387793299550576E-18</v>
      </c>
      <c r="AC153" s="24">
        <f t="shared" si="111"/>
        <v>1.604942114802185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6.0448999999999993</v>
      </c>
      <c r="AI153" s="14">
        <f>IF('Données projet'!$A$62&gt;35,AI152+AH153-AQ152,IF(A153&lt;'Données projet'!$A$62,$AF$205^A153,IF(A153='Données projet'!$A$62,'Données projet'!$B$62,AI152+AH153-AQ152)))</f>
        <v>692.97000000000094</v>
      </c>
      <c r="AJ153" s="14">
        <f>AI153*VLOOKUP('Données projet'!$B$10,Paramètres!$A$1:$I$89,3,0)*VLOOKUP('Données projet'!$B$10,Paramètres!$A$1:$I$89,5,0)</f>
        <v>756.72324000000106</v>
      </c>
      <c r="AK153" s="14">
        <f t="shared" si="143"/>
        <v>161.20587367141999</v>
      </c>
      <c r="AL153" s="22">
        <f t="shared" si="112"/>
        <v>1598.7265396443918</v>
      </c>
      <c r="AM153" s="62">
        <f t="shared" si="113"/>
        <v>1892.059872977725</v>
      </c>
      <c r="AN153" s="62">
        <f ca="1">AVERAGE(OFFSET($AM$3,0,0,'Données projet'!$E$10+1,1))-AVERAGE(OFFSET($H$3,0,0,'Données projet'!$E$10+1,1))</f>
        <v>886.54265074144564</v>
      </c>
      <c r="AO153" s="62">
        <f t="shared" si="144"/>
        <v>254.8922423500004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158.5</v>
      </c>
      <c r="BB153" s="13">
        <f>VLOOKUP(A153,'Données projet'!$A$87:$I$107,9,0)</f>
        <v>1.3599999999999994</v>
      </c>
      <c r="BC153" s="13">
        <f t="array" ref="BC153">INDEX(BB:BB,MIN(IF(ISNUMBER(BB153:BB349),ROW(BB153:BB349),"")))</f>
        <v>1.3599999999999994</v>
      </c>
      <c r="BD153" s="13">
        <f>IF('Données projet'!$A$88&gt;35,BD152+BC153-BL152,IF(A153&lt;'Données projet'!$A$88,$BA$205^A153,IF(A153='Données projet'!$A$88,'Données projet'!$B$88,BD152+BC153-BL152)))</f>
        <v>158.5000000000004</v>
      </c>
      <c r="BE153" s="14">
        <f>BD153*VLOOKUP('Données projet'!$B$11,Paramètres!$A$1:$I$89,3,0)*VLOOKUP('Données projet'!$B$11,Paramètres!$A$1:$I$89,5,0)</f>
        <v>182.59200000000044</v>
      </c>
      <c r="BF153" s="14">
        <f t="shared" si="145"/>
        <v>45.898377684621373</v>
      </c>
      <c r="BG153" s="22">
        <f t="shared" si="115"/>
        <v>397.95407446738295</v>
      </c>
      <c r="BH153" s="62">
        <f t="shared" si="116"/>
        <v>691.28740780071621</v>
      </c>
      <c r="BI153" s="62">
        <f ca="1">AVERAGE(OFFSET($BH$3,0,0,'Données projet'!$E$11+1,1))-AVERAGE(OFFSET($H$3,0,0,'Données projet'!$E$11+1,1))</f>
        <v>165.98015798223548</v>
      </c>
      <c r="BJ153" s="62">
        <f t="shared" si="146"/>
        <v>143.97979034100706</v>
      </c>
      <c r="BK153" s="16">
        <f>IF(ISNA(VLOOKUP(A153,'Données projet'!$A$87:$I$107,3,0)),0,VLOOKUP(A153,'Données projet'!$A$87:$I$107,3,0))</f>
        <v>1</v>
      </c>
      <c r="BL153" s="16">
        <f>IF(ISNA(VLOOKUP(A153,'Données projet'!$A$87:$I$107,4,0)),0,VLOOKUP(A153,'Données projet'!$A$87:$I$107,4,0))</f>
        <v>158.5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292.53119999999905</v>
      </c>
      <c r="CA153" s="14">
        <f t="shared" si="147"/>
        <v>69.608426130892724</v>
      </c>
      <c r="CB153" s="22">
        <f t="shared" si="118"/>
        <v>630.72651551130321</v>
      </c>
      <c r="CC153" s="62">
        <f t="shared" si="119"/>
        <v>924.05984884463646</v>
      </c>
      <c r="CD153" s="62">
        <f ca="1">AVERAGE(OFFSET($CC$3,0,0,'Données projet'!$E$12+1,1))-AVERAGE(OFFSET($H$3,0,0,'Données projet'!$E$12+1,1))</f>
        <v>335.16942824912076</v>
      </c>
      <c r="CE153" s="62">
        <f t="shared" si="148"/>
        <v>190.00559730122677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152.63300189110146</v>
      </c>
      <c r="T154" s="62">
        <f t="shared" si="142"/>
        <v>236.66430374499453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1.2288880871899217</v>
      </c>
      <c r="AA154" s="23">
        <f>EXP(-LN(2)/25)*AA153+(1-EXP(-LN(2)/25))/(LN(2)/25)*Calculateur!V154*Calculateur!X154*VLOOKUP('Données projet'!$B$9,Paramètres!$A$1:$I$89,3,0)*0.475*44/12</f>
        <v>0.34186320517942448</v>
      </c>
      <c r="AB154" s="23">
        <f>EXP(-LN(2)/2)*AB153+(1-EXP(-LN(2)/2))/(LN(2)/2)*V154*Y154*VLOOKUP('Données projet'!$B$9,Paramètres!$A$1:$I$89,3,0)*0.475*44/12</f>
        <v>1.7951880801474606E-18</v>
      </c>
      <c r="AC154" s="24">
        <f t="shared" ref="AC154:AC203" si="163">SUM(Z154:AB154)</f>
        <v>1.5707512923693461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6.0448999999999993</v>
      </c>
      <c r="AI154" s="14">
        <f>IF('Données projet'!$A$62&gt;35,AI153+AH154-AQ153,IF(A154&lt;'Données projet'!$A$62,$AF$205^A154,IF(A154='Données projet'!$A$62,'Données projet'!$B$62,AI153+AH154-AQ153)))</f>
        <v>699.01490000000092</v>
      </c>
      <c r="AJ154" s="14">
        <f>AI154*VLOOKUP('Données projet'!$B$10,Paramètres!$A$1:$I$89,3,0)*VLOOKUP('Données projet'!$B$10,Paramètres!$A$1:$I$89,5,0)</f>
        <v>763.32427080000105</v>
      </c>
      <c r="AK154" s="14">
        <f t="shared" ref="AK154:AK203" si="164">EXP(-1.0587+0.8836*LN(AJ154)+0.284)</f>
        <v>162.44778739546979</v>
      </c>
      <c r="AL154" s="22">
        <f t="shared" ref="AL154:AL203" si="165">(AJ154+AK154)*0.475*44/12</f>
        <v>1612.3863346904452</v>
      </c>
      <c r="AM154" s="62">
        <f t="shared" si="113"/>
        <v>1905.7196680237785</v>
      </c>
      <c r="AN154" s="62">
        <f ca="1">AVERAGE(OFFSET($AM$3,0,0,'Données projet'!$E$10+1,1))-AVERAGE(OFFSET($H$3,0,0,'Données projet'!$E$10+1,1))</f>
        <v>886.54265074144564</v>
      </c>
      <c r="AO154" s="62">
        <f t="shared" si="144"/>
        <v>254.8922423500004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3.979039320256561E-13</v>
      </c>
      <c r="BE154" s="14">
        <f>BD154*VLOOKUP('Données projet'!$B$11,Paramètres!$A$1:$I$89,3,0)*VLOOKUP('Données projet'!$B$11,Paramètres!$A$1:$I$89,5,0)</f>
        <v>4.5838532969355584E-13</v>
      </c>
      <c r="BF154" s="14">
        <f t="shared" ref="BF154:BF203" si="167">EXP(-1.0587+0.8836*LN(BE154)+0.284)</f>
        <v>5.7678707532255958E-12</v>
      </c>
      <c r="BG154" s="22">
        <f t="shared" ref="BG154:BG203" si="168">(BE154+BF154)*0.475*44/12</f>
        <v>1.0844062677750854E-11</v>
      </c>
      <c r="BH154" s="62">
        <f t="shared" si="116"/>
        <v>293.33333333334417</v>
      </c>
      <c r="BI154" s="62">
        <f ca="1">AVERAGE(OFFSET($BH$3,0,0,'Données projet'!$E$11+1,1))-AVERAGE(OFFSET($H$3,0,0,'Données projet'!$E$11+1,1))</f>
        <v>165.98015798223548</v>
      </c>
      <c r="BJ154" s="62">
        <f t="shared" si="146"/>
        <v>143.97979034100706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-9.6479197964072245E-13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335.16942824912076</v>
      </c>
      <c r="CE154" s="62">
        <f t="shared" si="148"/>
        <v>190.00559730122677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152.63300189110146</v>
      </c>
      <c r="T155" s="62">
        <f t="shared" si="142"/>
        <v>236.66430374499453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1.2047903413478489</v>
      </c>
      <c r="AA155" s="23">
        <f>EXP(-LN(2)/25)*AA154+(1-EXP(-LN(2)/25))/(LN(2)/25)*Calculateur!V155*Calculateur!X155*VLOOKUP('Données projet'!$B$9,Paramètres!$A$1:$I$89,3,0)*0.475*44/12</f>
        <v>0.33251493785598851</v>
      </c>
      <c r="AB155" s="23">
        <f>EXP(-LN(2)/2)*AB154+(1-EXP(-LN(2)/2))/(LN(2)/2)*V155*Y155*VLOOKUP('Données projet'!$B$9,Paramètres!$A$1:$I$89,3,0)*0.475*44/12</f>
        <v>1.2693896649775288E-18</v>
      </c>
      <c r="AC155" s="24">
        <f t="shared" si="163"/>
        <v>1.5373052792038373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6.0448999999999993</v>
      </c>
      <c r="AI155" s="14">
        <f>IF('Données projet'!$A$62&gt;35,AI154+AH155-AQ154,IF(A155&lt;'Données projet'!$A$62,$AF$205^A155,IF(A155='Données projet'!$A$62,'Données projet'!$B$62,AI154+AH155-AQ154)))</f>
        <v>705.05980000000091</v>
      </c>
      <c r="AJ155" s="14">
        <f>AI155*VLOOKUP('Données projet'!$B$10,Paramètres!$A$1:$I$89,3,0)*VLOOKUP('Données projet'!$B$10,Paramètres!$A$1:$I$89,5,0)</f>
        <v>769.92530160000103</v>
      </c>
      <c r="AK155" s="14">
        <f t="shared" si="164"/>
        <v>163.68845162528015</v>
      </c>
      <c r="AL155" s="22">
        <f t="shared" si="165"/>
        <v>1626.0439535340313</v>
      </c>
      <c r="AM155" s="62">
        <f t="shared" si="113"/>
        <v>1919.3772868673645</v>
      </c>
      <c r="AN155" s="62">
        <f ca="1">AVERAGE(OFFSET($AM$3,0,0,'Données projet'!$E$10+1,1))-AVERAGE(OFFSET($H$3,0,0,'Données projet'!$E$10+1,1))</f>
        <v>886.54265074144564</v>
      </c>
      <c r="AO155" s="62">
        <f t="shared" si="144"/>
        <v>254.8922423500004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3.979039320256561E-13</v>
      </c>
      <c r="BE155" s="14">
        <f>BD155*VLOOKUP('Données projet'!$B$11,Paramètres!$A$1:$I$89,3,0)*VLOOKUP('Données projet'!$B$11,Paramètres!$A$1:$I$89,5,0)</f>
        <v>4.5838532969355584E-13</v>
      </c>
      <c r="BF155" s="14">
        <f t="shared" si="167"/>
        <v>5.7678707532255958E-12</v>
      </c>
      <c r="BG155" s="22">
        <f t="shared" si="168"/>
        <v>1.0844062677750854E-11</v>
      </c>
      <c r="BH155" s="62">
        <f t="shared" si="116"/>
        <v>293.33333333334417</v>
      </c>
      <c r="BI155" s="62">
        <f ca="1">AVERAGE(OFFSET($BH$3,0,0,'Données projet'!$E$11+1,1))-AVERAGE(OFFSET($H$3,0,0,'Données projet'!$E$11+1,1))</f>
        <v>165.98015798223548</v>
      </c>
      <c r="BJ155" s="62">
        <f t="shared" si="146"/>
        <v>143.97979034100706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-9.6479197964072245E-13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335.16942824912076</v>
      </c>
      <c r="CE155" s="62">
        <f t="shared" si="148"/>
        <v>190.00559730122677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152.63300189110146</v>
      </c>
      <c r="T156" s="62">
        <f t="shared" si="142"/>
        <v>236.66430374499453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1.1811651376035655</v>
      </c>
      <c r="AA156" s="23">
        <f>EXP(-LN(2)/25)*AA155+(1-EXP(-LN(2)/25))/(LN(2)/25)*Calculateur!V156*Calculateur!X156*VLOOKUP('Données projet'!$B$9,Paramètres!$A$1:$I$89,3,0)*0.475*44/12</f>
        <v>0.32342229939411588</v>
      </c>
      <c r="AB156" s="23">
        <f>EXP(-LN(2)/2)*AB155+(1-EXP(-LN(2)/2))/(LN(2)/2)*V156*Y156*VLOOKUP('Données projet'!$B$9,Paramètres!$A$1:$I$89,3,0)*0.475*44/12</f>
        <v>8.975940400737303E-19</v>
      </c>
      <c r="AC156" s="24">
        <f t="shared" si="163"/>
        <v>1.5045874369976813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6.0448999999999993</v>
      </c>
      <c r="AI156" s="14">
        <f>IF('Données projet'!$A$62&gt;35,AI155+AH156-AQ155,IF(A156&lt;'Données projet'!$A$62,$AF$205^A156,IF(A156='Données projet'!$A$62,'Données projet'!$B$62,AI155+AH156-AQ155)))</f>
        <v>711.10470000000089</v>
      </c>
      <c r="AJ156" s="14">
        <f>AI156*VLOOKUP('Données projet'!$B$10,Paramètres!$A$1:$I$89,3,0)*VLOOKUP('Données projet'!$B$10,Paramètres!$A$1:$I$89,5,0)</f>
        <v>776.52633240000091</v>
      </c>
      <c r="AK156" s="14">
        <f t="shared" si="164"/>
        <v>164.92787831479598</v>
      </c>
      <c r="AL156" s="22">
        <f t="shared" si="165"/>
        <v>1639.6994169949378</v>
      </c>
      <c r="AM156" s="62">
        <f t="shared" si="113"/>
        <v>1933.032750328271</v>
      </c>
      <c r="AN156" s="62">
        <f ca="1">AVERAGE(OFFSET($AM$3,0,0,'Données projet'!$E$10+1,1))-AVERAGE(OFFSET($H$3,0,0,'Données projet'!$E$10+1,1))</f>
        <v>886.54265074144564</v>
      </c>
      <c r="AO156" s="62">
        <f t="shared" si="144"/>
        <v>254.8922423500004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3.979039320256561E-13</v>
      </c>
      <c r="BE156" s="14">
        <f>BD156*VLOOKUP('Données projet'!$B$11,Paramètres!$A$1:$I$89,3,0)*VLOOKUP('Données projet'!$B$11,Paramètres!$A$1:$I$89,5,0)</f>
        <v>4.5838532969355584E-13</v>
      </c>
      <c r="BF156" s="14">
        <f t="shared" si="167"/>
        <v>5.7678707532255958E-12</v>
      </c>
      <c r="BG156" s="22">
        <f t="shared" si="168"/>
        <v>1.0844062677750854E-11</v>
      </c>
      <c r="BH156" s="62">
        <f t="shared" si="116"/>
        <v>293.33333333334417</v>
      </c>
      <c r="BI156" s="62">
        <f ca="1">AVERAGE(OFFSET($BH$3,0,0,'Données projet'!$E$11+1,1))-AVERAGE(OFFSET($H$3,0,0,'Données projet'!$E$11+1,1))</f>
        <v>165.98015798223548</v>
      </c>
      <c r="BJ156" s="62">
        <f t="shared" si="146"/>
        <v>143.97979034100706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-9.6479197964072245E-13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335.16942824912076</v>
      </c>
      <c r="CE156" s="62">
        <f t="shared" si="148"/>
        <v>190.00559730122677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152.63300189110146</v>
      </c>
      <c r="T157" s="62">
        <f t="shared" si="142"/>
        <v>236.66430374499453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1.1580032096947559</v>
      </c>
      <c r="AA157" s="23">
        <f>EXP(-LN(2)/25)*AA156+(1-EXP(-LN(2)/25))/(LN(2)/25)*Calculateur!V157*Calculateur!X157*VLOOKUP('Données projet'!$B$9,Paramètres!$A$1:$I$89,3,0)*0.475*44/12</f>
        <v>0.31457829960914424</v>
      </c>
      <c r="AB157" s="23">
        <f>EXP(-LN(2)/2)*AB156+(1-EXP(-LN(2)/2))/(LN(2)/2)*V157*Y157*VLOOKUP('Données projet'!$B$9,Paramètres!$A$1:$I$89,3,0)*0.475*44/12</f>
        <v>6.3469483248876439E-19</v>
      </c>
      <c r="AC157" s="24">
        <f t="shared" si="163"/>
        <v>1.4725815093039001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6.0448999999999993</v>
      </c>
      <c r="AI157" s="14">
        <f>IF('Données projet'!$A$62&gt;35,AI156+AH157-AQ156,IF(A157&lt;'Données projet'!$A$62,$AF$205^A157,IF(A157='Données projet'!$A$62,'Données projet'!$B$62,AI156+AH157-AQ156)))</f>
        <v>717.14960000000087</v>
      </c>
      <c r="AJ157" s="14">
        <f>AI157*VLOOKUP('Données projet'!$B$10,Paramètres!$A$1:$I$89,3,0)*VLOOKUP('Données projet'!$B$10,Paramètres!$A$1:$I$89,5,0)</f>
        <v>783.1273632000009</v>
      </c>
      <c r="AK157" s="14">
        <f t="shared" si="164"/>
        <v>166.1660792029985</v>
      </c>
      <c r="AL157" s="22">
        <f t="shared" si="165"/>
        <v>1653.3527455185574</v>
      </c>
      <c r="AM157" s="62">
        <f t="shared" si="113"/>
        <v>1946.6860788518907</v>
      </c>
      <c r="AN157" s="62">
        <f ca="1">AVERAGE(OFFSET($AM$3,0,0,'Données projet'!$E$10+1,1))-AVERAGE(OFFSET($H$3,0,0,'Données projet'!$E$10+1,1))</f>
        <v>886.54265074144564</v>
      </c>
      <c r="AO157" s="62">
        <f t="shared" si="144"/>
        <v>254.8922423500004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3.979039320256561E-13</v>
      </c>
      <c r="BE157" s="14">
        <f>BD157*VLOOKUP('Données projet'!$B$11,Paramètres!$A$1:$I$89,3,0)*VLOOKUP('Données projet'!$B$11,Paramètres!$A$1:$I$89,5,0)</f>
        <v>4.5838532969355584E-13</v>
      </c>
      <c r="BF157" s="14">
        <f t="shared" si="167"/>
        <v>5.7678707532255958E-12</v>
      </c>
      <c r="BG157" s="22">
        <f t="shared" si="168"/>
        <v>1.0844062677750854E-11</v>
      </c>
      <c r="BH157" s="62">
        <f t="shared" si="116"/>
        <v>293.33333333334417</v>
      </c>
      <c r="BI157" s="62">
        <f ca="1">AVERAGE(OFFSET($BH$3,0,0,'Données projet'!$E$11+1,1))-AVERAGE(OFFSET($H$3,0,0,'Données projet'!$E$11+1,1))</f>
        <v>165.98015798223548</v>
      </c>
      <c r="BJ157" s="62">
        <f t="shared" si="146"/>
        <v>143.97979034100706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-9.6479197964072245E-13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335.16942824912076</v>
      </c>
      <c r="CE157" s="62">
        <f t="shared" si="148"/>
        <v>190.00559730122677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152.63300189110146</v>
      </c>
      <c r="T158" s="62">
        <f t="shared" si="142"/>
        <v>236.66430374499453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1.135295473064857</v>
      </c>
      <c r="AA158" s="23">
        <f>EXP(-LN(2)/25)*AA157+(1-EXP(-LN(2)/25))/(LN(2)/25)*Calculateur!V158*Calculateur!X158*VLOOKUP('Données projet'!$B$9,Paramètres!$A$1:$I$89,3,0)*0.475*44/12</f>
        <v>0.30597613946337837</v>
      </c>
      <c r="AB158" s="23">
        <f>EXP(-LN(2)/2)*AB157+(1-EXP(-LN(2)/2))/(LN(2)/2)*V158*Y158*VLOOKUP('Données projet'!$B$9,Paramètres!$A$1:$I$89,3,0)*0.475*44/12</f>
        <v>4.4879702003686515E-19</v>
      </c>
      <c r="AC158" s="24">
        <f t="shared" si="163"/>
        <v>1.4412716125282354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6.0448999999999993</v>
      </c>
      <c r="AI158" s="14">
        <f>IF('Données projet'!$A$62&gt;35,AI157+AH158-AQ157,IF(A158&lt;'Données projet'!$A$62,$AF$205^A158,IF(A158='Données projet'!$A$62,'Données projet'!$B$62,AI157+AH158-AQ157)))</f>
        <v>723.19450000000086</v>
      </c>
      <c r="AJ158" s="14">
        <f>AI158*VLOOKUP('Données projet'!$B$10,Paramètres!$A$1:$I$89,3,0)*VLOOKUP('Données projet'!$B$10,Paramètres!$A$1:$I$89,5,0)</f>
        <v>789.72839400000089</v>
      </c>
      <c r="AK158" s="14">
        <f t="shared" si="164"/>
        <v>167.40306581954934</v>
      </c>
      <c r="AL158" s="22">
        <f t="shared" si="165"/>
        <v>1667.0039591857167</v>
      </c>
      <c r="AM158" s="62">
        <f t="shared" si="113"/>
        <v>1960.3372925190499</v>
      </c>
      <c r="AN158" s="62">
        <f ca="1">AVERAGE(OFFSET($AM$3,0,0,'Données projet'!$E$10+1,1))-AVERAGE(OFFSET($H$3,0,0,'Données projet'!$E$10+1,1))</f>
        <v>886.54265074144564</v>
      </c>
      <c r="AO158" s="62">
        <f t="shared" si="144"/>
        <v>254.8922423500004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3.979039320256561E-13</v>
      </c>
      <c r="BE158" s="14">
        <f>BD158*VLOOKUP('Données projet'!$B$11,Paramètres!$A$1:$I$89,3,0)*VLOOKUP('Données projet'!$B$11,Paramètres!$A$1:$I$89,5,0)</f>
        <v>4.5838532969355584E-13</v>
      </c>
      <c r="BF158" s="14">
        <f t="shared" si="167"/>
        <v>5.7678707532255958E-12</v>
      </c>
      <c r="BG158" s="22">
        <f t="shared" si="168"/>
        <v>1.0844062677750854E-11</v>
      </c>
      <c r="BH158" s="62">
        <f t="shared" si="116"/>
        <v>293.33333333334417</v>
      </c>
      <c r="BI158" s="62">
        <f ca="1">AVERAGE(OFFSET($BH$3,0,0,'Données projet'!$E$11+1,1))-AVERAGE(OFFSET($H$3,0,0,'Données projet'!$E$11+1,1))</f>
        <v>165.98015798223548</v>
      </c>
      <c r="BJ158" s="62">
        <f t="shared" si="146"/>
        <v>143.97979034100706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-9.6479197964072245E-13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335.16942824912076</v>
      </c>
      <c r="CE158" s="62">
        <f t="shared" si="148"/>
        <v>190.00559730122677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152.63300189110146</v>
      </c>
      <c r="T159" s="62">
        <f t="shared" si="142"/>
        <v>236.66430374499453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1.1130330212999189</v>
      </c>
      <c r="AA159" s="23">
        <f>EXP(-LN(2)/25)*AA158+(1-EXP(-LN(2)/25))/(LN(2)/25)*Calculateur!V159*Calculateur!X159*VLOOKUP('Données projet'!$B$9,Paramètres!$A$1:$I$89,3,0)*0.475*44/12</f>
        <v>0.29760920583916645</v>
      </c>
      <c r="AB159" s="23">
        <f>EXP(-LN(2)/2)*AB158+(1-EXP(-LN(2)/2))/(LN(2)/2)*V159*Y159*VLOOKUP('Données projet'!$B$9,Paramètres!$A$1:$I$89,3,0)*0.475*44/12</f>
        <v>3.173474162443822E-19</v>
      </c>
      <c r="AC159" s="24">
        <f t="shared" si="163"/>
        <v>1.4106422271390853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6.0448999999999993</v>
      </c>
      <c r="AI159" s="14">
        <f>IF('Données projet'!$A$62&gt;35,AI158+AH159-AQ158,IF(A159&lt;'Données projet'!$A$62,$AF$205^A159,IF(A159='Données projet'!$A$62,'Données projet'!$B$62,AI158+AH159-AQ158)))</f>
        <v>729.23940000000084</v>
      </c>
      <c r="AJ159" s="14">
        <f>AI159*VLOOKUP('Données projet'!$B$10,Paramètres!$A$1:$I$89,3,0)*VLOOKUP('Données projet'!$B$10,Paramètres!$A$1:$I$89,5,0)</f>
        <v>796.32942480000088</v>
      </c>
      <c r="AK159" s="14">
        <f t="shared" si="164"/>
        <v>168.63884949024029</v>
      </c>
      <c r="AL159" s="22">
        <f t="shared" si="165"/>
        <v>1680.6530777221699</v>
      </c>
      <c r="AM159" s="62">
        <f t="shared" si="113"/>
        <v>1973.9864110555031</v>
      </c>
      <c r="AN159" s="62">
        <f ca="1">AVERAGE(OFFSET($AM$3,0,0,'Données projet'!$E$10+1,1))-AVERAGE(OFFSET($H$3,0,0,'Données projet'!$E$10+1,1))</f>
        <v>886.54265074144564</v>
      </c>
      <c r="AO159" s="62">
        <f t="shared" si="144"/>
        <v>254.8922423500004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3.979039320256561E-13</v>
      </c>
      <c r="BE159" s="14">
        <f>BD159*VLOOKUP('Données projet'!$B$11,Paramètres!$A$1:$I$89,3,0)*VLOOKUP('Données projet'!$B$11,Paramètres!$A$1:$I$89,5,0)</f>
        <v>4.5838532969355584E-13</v>
      </c>
      <c r="BF159" s="14">
        <f t="shared" si="167"/>
        <v>5.7678707532255958E-12</v>
      </c>
      <c r="BG159" s="22">
        <f t="shared" si="168"/>
        <v>1.0844062677750854E-11</v>
      </c>
      <c r="BH159" s="62">
        <f t="shared" si="116"/>
        <v>293.33333333334417</v>
      </c>
      <c r="BI159" s="62">
        <f ca="1">AVERAGE(OFFSET($BH$3,0,0,'Données projet'!$E$11+1,1))-AVERAGE(OFFSET($H$3,0,0,'Données projet'!$E$11+1,1))</f>
        <v>165.98015798223548</v>
      </c>
      <c r="BJ159" s="62">
        <f t="shared" si="146"/>
        <v>143.97979034100706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-9.6479197964072245E-13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335.16942824912076</v>
      </c>
      <c r="CE159" s="62">
        <f t="shared" si="148"/>
        <v>190.00559730122677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152.63300189110146</v>
      </c>
      <c r="T160" s="62">
        <f t="shared" si="142"/>
        <v>236.66430374499453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1.0912071226353364</v>
      </c>
      <c r="AA160" s="23">
        <f>EXP(-LN(2)/25)*AA159+(1-EXP(-LN(2)/25))/(LN(2)/25)*Calculateur!V160*Calculateur!X160*VLOOKUP('Données projet'!$B$9,Paramètres!$A$1:$I$89,3,0)*0.475*44/12</f>
        <v>0.2894710664549065</v>
      </c>
      <c r="AB160" s="23">
        <f>EXP(-LN(2)/2)*AB159+(1-EXP(-LN(2)/2))/(LN(2)/2)*V160*Y160*VLOOKUP('Données projet'!$B$9,Paramètres!$A$1:$I$89,3,0)*0.475*44/12</f>
        <v>2.2439851001843257E-19</v>
      </c>
      <c r="AC160" s="24">
        <f t="shared" si="163"/>
        <v>1.3806781890902429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6.0448999999999993</v>
      </c>
      <c r="AI160" s="14">
        <f>IF('Données projet'!$A$62&gt;35,AI159+AH160-AQ159,IF(A160&lt;'Données projet'!$A$62,$AF$205^A160,IF(A160='Données projet'!$A$62,'Données projet'!$B$62,AI159+AH160-AQ159)))</f>
        <v>735.28430000000083</v>
      </c>
      <c r="AJ160" s="14">
        <f>AI160*VLOOKUP('Données projet'!$B$10,Paramètres!$A$1:$I$89,3,0)*VLOOKUP('Données projet'!$B$10,Paramètres!$A$1:$I$89,5,0)</f>
        <v>802.93045560000076</v>
      </c>
      <c r="AK160" s="14">
        <f t="shared" si="164"/>
        <v>169.87344134225876</v>
      </c>
      <c r="AL160" s="22">
        <f t="shared" si="165"/>
        <v>1694.3001205077687</v>
      </c>
      <c r="AM160" s="62">
        <f t="shared" si="113"/>
        <v>1987.633453841102</v>
      </c>
      <c r="AN160" s="62">
        <f ca="1">AVERAGE(OFFSET($AM$3,0,0,'Données projet'!$E$10+1,1))-AVERAGE(OFFSET($H$3,0,0,'Données projet'!$E$10+1,1))</f>
        <v>886.54265074144564</v>
      </c>
      <c r="AO160" s="62">
        <f t="shared" si="144"/>
        <v>254.8922423500004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3.979039320256561E-13</v>
      </c>
      <c r="BE160" s="14">
        <f>BD160*VLOOKUP('Données projet'!$B$11,Paramètres!$A$1:$I$89,3,0)*VLOOKUP('Données projet'!$B$11,Paramètres!$A$1:$I$89,5,0)</f>
        <v>4.5838532969355584E-13</v>
      </c>
      <c r="BF160" s="14">
        <f t="shared" si="167"/>
        <v>5.7678707532255958E-12</v>
      </c>
      <c r="BG160" s="22">
        <f t="shared" si="168"/>
        <v>1.0844062677750854E-11</v>
      </c>
      <c r="BH160" s="62">
        <f t="shared" si="116"/>
        <v>293.33333333334417</v>
      </c>
      <c r="BI160" s="62">
        <f ca="1">AVERAGE(OFFSET($BH$3,0,0,'Données projet'!$E$11+1,1))-AVERAGE(OFFSET($H$3,0,0,'Données projet'!$E$11+1,1))</f>
        <v>165.98015798223548</v>
      </c>
      <c r="BJ160" s="62">
        <f t="shared" si="146"/>
        <v>143.97979034100706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-9.6479197964072245E-13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335.16942824912076</v>
      </c>
      <c r="CE160" s="62">
        <f t="shared" si="148"/>
        <v>190.00559730122677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152.63300189110146</v>
      </c>
      <c r="T161" s="62">
        <f t="shared" si="142"/>
        <v>236.66430374499453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1.0698092165310826</v>
      </c>
      <c r="AA161" s="23">
        <f>EXP(-LN(2)/25)*AA160+(1-EXP(-LN(2)/25))/(LN(2)/25)*Calculateur!V161*Calculateur!X161*VLOOKUP('Données projet'!$B$9,Paramètres!$A$1:$I$89,3,0)*0.475*44/12</f>
        <v>0.28155546492007527</v>
      </c>
      <c r="AB161" s="23">
        <f>EXP(-LN(2)/2)*AB160+(1-EXP(-LN(2)/2))/(LN(2)/2)*V161*Y161*VLOOKUP('Données projet'!$B$9,Paramètres!$A$1:$I$89,3,0)*0.475*44/12</f>
        <v>1.586737081221911E-19</v>
      </c>
      <c r="AC161" s="24">
        <f t="shared" si="163"/>
        <v>1.351364681451158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6.0448999999999993</v>
      </c>
      <c r="AI161" s="14">
        <f>IF('Données projet'!$A$62&gt;35,AI160+AH161-AQ160,IF(A161&lt;'Données projet'!$A$62,$AF$205^A161,IF(A161='Données projet'!$A$62,'Données projet'!$B$62,AI160+AH161-AQ160)))</f>
        <v>741.32920000000081</v>
      </c>
      <c r="AJ161" s="14">
        <f>AI161*VLOOKUP('Données projet'!$B$10,Paramètres!$A$1:$I$89,3,0)*VLOOKUP('Données projet'!$B$10,Paramètres!$A$1:$I$89,5,0)</f>
        <v>809.53148640000086</v>
      </c>
      <c r="AK161" s="14">
        <f t="shared" si="164"/>
        <v>171.10685230927245</v>
      </c>
      <c r="AL161" s="22">
        <f t="shared" si="165"/>
        <v>1707.9451065853175</v>
      </c>
      <c r="AM161" s="62">
        <f t="shared" si="113"/>
        <v>2001.2784399186507</v>
      </c>
      <c r="AN161" s="62">
        <f ca="1">AVERAGE(OFFSET($AM$3,0,0,'Données projet'!$E$10+1,1))-AVERAGE(OFFSET($H$3,0,0,'Données projet'!$E$10+1,1))</f>
        <v>886.54265074144564</v>
      </c>
      <c r="AO161" s="62">
        <f t="shared" si="144"/>
        <v>254.8922423500004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3.979039320256561E-13</v>
      </c>
      <c r="BE161" s="14">
        <f>BD161*VLOOKUP('Données projet'!$B$11,Paramètres!$A$1:$I$89,3,0)*VLOOKUP('Données projet'!$B$11,Paramètres!$A$1:$I$89,5,0)</f>
        <v>4.5838532969355584E-13</v>
      </c>
      <c r="BF161" s="14">
        <f t="shared" si="167"/>
        <v>5.7678707532255958E-12</v>
      </c>
      <c r="BG161" s="22">
        <f t="shared" si="168"/>
        <v>1.0844062677750854E-11</v>
      </c>
      <c r="BH161" s="62">
        <f t="shared" si="116"/>
        <v>293.33333333334417</v>
      </c>
      <c r="BI161" s="62">
        <f ca="1">AVERAGE(OFFSET($BH$3,0,0,'Données projet'!$E$11+1,1))-AVERAGE(OFFSET($H$3,0,0,'Données projet'!$E$11+1,1))</f>
        <v>165.98015798223548</v>
      </c>
      <c r="BJ161" s="62">
        <f t="shared" si="146"/>
        <v>143.97979034100706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-9.6479197964072245E-13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335.16942824912076</v>
      </c>
      <c r="CE161" s="62">
        <f t="shared" si="148"/>
        <v>190.00559730122677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152.63300189110146</v>
      </c>
      <c r="T162" s="62">
        <f t="shared" si="142"/>
        <v>236.66430374499453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1.0488309103140994</v>
      </c>
      <c r="AA162" s="23">
        <f>EXP(-LN(2)/25)*AA161+(1-EXP(-LN(2)/25))/(LN(2)/25)*Calculateur!V162*Calculateur!X162*VLOOKUP('Données projet'!$B$9,Paramètres!$A$1:$I$89,3,0)*0.475*44/12</f>
        <v>0.27385631592547743</v>
      </c>
      <c r="AB162" s="23">
        <f>EXP(-LN(2)/2)*AB161+(1-EXP(-LN(2)/2))/(LN(2)/2)*V162*Y162*VLOOKUP('Données projet'!$B$9,Paramètres!$A$1:$I$89,3,0)*0.475*44/12</f>
        <v>1.1219925500921629E-19</v>
      </c>
      <c r="AC162" s="24">
        <f t="shared" si="163"/>
        <v>1.3226872262395768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6.0448999999999993</v>
      </c>
      <c r="AI162" s="14">
        <f>IF('Données projet'!$A$62&gt;35,AI161+AH162-AQ161,IF(A162&lt;'Données projet'!$A$62,$AF$205^A162,IF(A162='Données projet'!$A$62,'Données projet'!$B$62,AI161+AH162-AQ161)))</f>
        <v>747.37410000000079</v>
      </c>
      <c r="AJ162" s="14">
        <f>AI162*VLOOKUP('Données projet'!$B$10,Paramètres!$A$1:$I$89,3,0)*VLOOKUP('Données projet'!$B$10,Paramètres!$A$1:$I$89,5,0)</f>
        <v>816.13251720000073</v>
      </c>
      <c r="AK162" s="14">
        <f t="shared" si="164"/>
        <v>172.33909313634567</v>
      </c>
      <c r="AL162" s="22">
        <f t="shared" si="165"/>
        <v>1721.5880546691367</v>
      </c>
      <c r="AM162" s="62">
        <f t="shared" si="113"/>
        <v>2014.9213880024699</v>
      </c>
      <c r="AN162" s="62">
        <f ca="1">AVERAGE(OFFSET($AM$3,0,0,'Données projet'!$E$10+1,1))-AVERAGE(OFFSET($H$3,0,0,'Données projet'!$E$10+1,1))</f>
        <v>886.54265074144564</v>
      </c>
      <c r="AO162" s="62">
        <f t="shared" si="144"/>
        <v>254.8922423500004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3.979039320256561E-13</v>
      </c>
      <c r="BE162" s="14">
        <f>BD162*VLOOKUP('Données projet'!$B$11,Paramètres!$A$1:$I$89,3,0)*VLOOKUP('Données projet'!$B$11,Paramètres!$A$1:$I$89,5,0)</f>
        <v>4.5838532969355584E-13</v>
      </c>
      <c r="BF162" s="14">
        <f t="shared" si="167"/>
        <v>5.7678707532255958E-12</v>
      </c>
      <c r="BG162" s="22">
        <f t="shared" si="168"/>
        <v>1.0844062677750854E-11</v>
      </c>
      <c r="BH162" s="62">
        <f t="shared" si="116"/>
        <v>293.33333333334417</v>
      </c>
      <c r="BI162" s="62">
        <f ca="1">AVERAGE(OFFSET($BH$3,0,0,'Données projet'!$E$11+1,1))-AVERAGE(OFFSET($H$3,0,0,'Données projet'!$E$11+1,1))</f>
        <v>165.98015798223548</v>
      </c>
      <c r="BJ162" s="62">
        <f t="shared" si="146"/>
        <v>143.97979034100706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-9.6479197964072245E-13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335.16942824912076</v>
      </c>
      <c r="CE162" s="62">
        <f t="shared" si="148"/>
        <v>190.00559730122677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152.63300189110146</v>
      </c>
      <c r="T163" s="62">
        <f t="shared" si="142"/>
        <v>236.66430374499453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1.0282639758865277</v>
      </c>
      <c r="AA163" s="23">
        <f>EXP(-LN(2)/25)*AA162+(1-EXP(-LN(2)/25))/(LN(2)/25)*Calculateur!V163*Calculateur!X163*VLOOKUP('Données projet'!$B$9,Paramètres!$A$1:$I$89,3,0)*0.475*44/12</f>
        <v>0.26636770056501752</v>
      </c>
      <c r="AB163" s="23">
        <f>EXP(-LN(2)/2)*AB162+(1-EXP(-LN(2)/2))/(LN(2)/2)*V163*Y163*VLOOKUP('Données projet'!$B$9,Paramètres!$A$1:$I$89,3,0)*0.475*44/12</f>
        <v>7.9336854061095549E-20</v>
      </c>
      <c r="AC163" s="24">
        <f t="shared" si="163"/>
        <v>1.2946316764515453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>
        <f>VLOOKUP(A163,'Données projet'!$A$61:$I$81,2,0)</f>
        <v>753.41899999999998</v>
      </c>
      <c r="AG163" s="13">
        <f>VLOOKUP(A163,'Données projet'!$A$61:$I$81,9,0)</f>
        <v>6.0448999999999993</v>
      </c>
      <c r="AH163" s="13">
        <f t="array" ref="AH163">INDEX(AG:AG,MIN(IF(ISNUMBER(AG163:AG359),ROW(AG163:AG359),"")))</f>
        <v>6.0448999999999993</v>
      </c>
      <c r="AI163" s="14">
        <f>IF('Données projet'!$A$62&gt;35,AI162+AH163-AQ162,IF(A163&lt;'Données projet'!$A$62,$AF$205^A163,IF(A163='Données projet'!$A$62,'Données projet'!$B$62,AI162+AH163-AQ162)))</f>
        <v>753.41900000000078</v>
      </c>
      <c r="AJ163" s="14">
        <f>AI163*VLOOKUP('Données projet'!$B$10,Paramètres!$A$1:$I$89,3,0)*VLOOKUP('Données projet'!$B$10,Paramètres!$A$1:$I$89,5,0)</f>
        <v>822.73354800000084</v>
      </c>
      <c r="AK163" s="14">
        <f t="shared" si="164"/>
        <v>173.57017438469174</v>
      </c>
      <c r="AL163" s="22">
        <f t="shared" si="165"/>
        <v>1735.2289831533396</v>
      </c>
      <c r="AM163" s="62">
        <f t="shared" si="113"/>
        <v>2028.5623164866729</v>
      </c>
      <c r="AN163" s="62">
        <f ca="1">AVERAGE(OFFSET($AM$3,0,0,'Données projet'!$E$10+1,1))-AVERAGE(OFFSET($H$3,0,0,'Données projet'!$E$10+1,1))</f>
        <v>886.54265074144564</v>
      </c>
      <c r="AO163" s="62">
        <f t="shared" si="144"/>
        <v>254.8922423500004</v>
      </c>
      <c r="AP163" s="16">
        <f>IF(ISNA(VLOOKUP(A163,'Données projet'!$A$61:$I$81,3,0)),0,VLOOKUP(A163,'Données projet'!$A$61:$I$81,3,0))</f>
        <v>7</v>
      </c>
      <c r="AQ163" s="16">
        <f>IF(ISNA(VLOOKUP(A163,'Données projet'!$A$61:$I$81,4,0)),0,VLOOKUP(A163,'Données projet'!$A$61:$I$81,4,0))</f>
        <v>83.712999999999994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3.979039320256561E-13</v>
      </c>
      <c r="BE163" s="14">
        <f>BD163*VLOOKUP('Données projet'!$B$11,Paramètres!$A$1:$I$89,3,0)*VLOOKUP('Données projet'!$B$11,Paramètres!$A$1:$I$89,5,0)</f>
        <v>4.5838532969355584E-13</v>
      </c>
      <c r="BF163" s="14">
        <f t="shared" si="167"/>
        <v>5.7678707532255958E-12</v>
      </c>
      <c r="BG163" s="22">
        <f t="shared" si="168"/>
        <v>1.0844062677750854E-11</v>
      </c>
      <c r="BH163" s="62">
        <f t="shared" si="116"/>
        <v>293.33333333334417</v>
      </c>
      <c r="BI163" s="62">
        <f ca="1">AVERAGE(OFFSET($BH$3,0,0,'Données projet'!$E$11+1,1))-AVERAGE(OFFSET($H$3,0,0,'Données projet'!$E$11+1,1))</f>
        <v>165.98015798223548</v>
      </c>
      <c r="BJ163" s="62">
        <f t="shared" si="146"/>
        <v>143.97979034100706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-9.6479197964072245E-13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335.16942824912076</v>
      </c>
      <c r="CE163" s="62">
        <f t="shared" si="148"/>
        <v>190.00559730122677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152.63300189110146</v>
      </c>
      <c r="T164" s="62">
        <f t="shared" si="142"/>
        <v>236.66430374499453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1.0081003464984895</v>
      </c>
      <c r="AA164" s="23">
        <f>EXP(-LN(2)/25)*AA163+(1-EXP(-LN(2)/25))/(LN(2)/25)*Calculateur!V164*Calculateur!X164*VLOOKUP('Données projet'!$B$9,Paramètres!$A$1:$I$89,3,0)*0.475*44/12</f>
        <v>0.25908386178539855</v>
      </c>
      <c r="AB164" s="23">
        <f>EXP(-LN(2)/2)*AB163+(1-EXP(-LN(2)/2))/(LN(2)/2)*V164*Y164*VLOOKUP('Données projet'!$B$9,Paramètres!$A$1:$I$89,3,0)*0.475*44/12</f>
        <v>5.6099627504608144E-20</v>
      </c>
      <c r="AC164" s="24">
        <f t="shared" si="163"/>
        <v>1.267184208283888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4.9423249999999994</v>
      </c>
      <c r="AI164" s="14">
        <f>IF('Données projet'!$A$62&gt;35,AI163+AH164-AQ163,IF(A164&lt;'Données projet'!$A$62,$AF$205^A164,IF(A164='Données projet'!$A$62,'Données projet'!$B$62,AI163+AH164-AQ163)))</f>
        <v>674.6483250000008</v>
      </c>
      <c r="AJ164" s="14">
        <f>AI164*VLOOKUP('Données projet'!$B$10,Paramètres!$A$1:$I$89,3,0)*VLOOKUP('Données projet'!$B$10,Paramètres!$A$1:$I$89,5,0)</f>
        <v>736.7159709000008</v>
      </c>
      <c r="AK164" s="14">
        <f t="shared" si="164"/>
        <v>157.43396008597784</v>
      </c>
      <c r="AL164" s="22">
        <f t="shared" si="165"/>
        <v>1557.3111298005795</v>
      </c>
      <c r="AM164" s="62">
        <f t="shared" si="113"/>
        <v>1850.6444631339127</v>
      </c>
      <c r="AN164" s="62">
        <f ca="1">AVERAGE(OFFSET($AM$3,0,0,'Données projet'!$E$10+1,1))-AVERAGE(OFFSET($H$3,0,0,'Données projet'!$E$10+1,1))</f>
        <v>886.54265074144564</v>
      </c>
      <c r="AO164" s="62">
        <f t="shared" si="144"/>
        <v>254.8922423500004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3.979039320256561E-13</v>
      </c>
      <c r="BE164" s="14">
        <f>BD164*VLOOKUP('Données projet'!$B$11,Paramètres!$A$1:$I$89,3,0)*VLOOKUP('Données projet'!$B$11,Paramètres!$A$1:$I$89,5,0)</f>
        <v>4.5838532969355584E-13</v>
      </c>
      <c r="BF164" s="14">
        <f t="shared" si="167"/>
        <v>5.7678707532255958E-12</v>
      </c>
      <c r="BG164" s="22">
        <f t="shared" si="168"/>
        <v>1.0844062677750854E-11</v>
      </c>
      <c r="BH164" s="62">
        <f t="shared" si="116"/>
        <v>293.33333333334417</v>
      </c>
      <c r="BI164" s="62">
        <f ca="1">AVERAGE(OFFSET($BH$3,0,0,'Données projet'!$E$11+1,1))-AVERAGE(OFFSET($H$3,0,0,'Données projet'!$E$11+1,1))</f>
        <v>165.98015798223548</v>
      </c>
      <c r="BJ164" s="62">
        <f t="shared" si="146"/>
        <v>143.97979034100706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-9.6479197964072245E-13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335.16942824912076</v>
      </c>
      <c r="CE164" s="62">
        <f t="shared" si="148"/>
        <v>190.00559730122677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152.63300189110146</v>
      </c>
      <c r="T165" s="62">
        <f t="shared" si="142"/>
        <v>236.66430374499453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0.98833211358415107</v>
      </c>
      <c r="AA165" s="23">
        <f>EXP(-LN(2)/25)*AA164+(1-EXP(-LN(2)/25))/(LN(2)/25)*Calculateur!V165*Calculateur!X165*VLOOKUP('Données projet'!$B$9,Paramètres!$A$1:$I$89,3,0)*0.475*44/12</f>
        <v>0.25199919996024867</v>
      </c>
      <c r="AB165" s="23">
        <f>EXP(-LN(2)/2)*AB164+(1-EXP(-LN(2)/2))/(LN(2)/2)*V165*Y165*VLOOKUP('Données projet'!$B$9,Paramètres!$A$1:$I$89,3,0)*0.475*44/12</f>
        <v>3.9668427030547774E-20</v>
      </c>
      <c r="AC165" s="24">
        <f t="shared" si="163"/>
        <v>1.2403313135443996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4.9423249999999994</v>
      </c>
      <c r="AI165" s="14">
        <f>IF('Données projet'!$A$62&gt;35,AI164+AH165-AQ164,IF(A165&lt;'Données projet'!$A$62,$AF$205^A165,IF(A165='Données projet'!$A$62,'Données projet'!$B$62,AI164+AH165-AQ164)))</f>
        <v>679.59065000000078</v>
      </c>
      <c r="AJ165" s="14">
        <f>AI165*VLOOKUP('Données projet'!$B$10,Paramètres!$A$1:$I$89,3,0)*VLOOKUP('Données projet'!$B$10,Paramètres!$A$1:$I$89,5,0)</f>
        <v>742.11298980000083</v>
      </c>
      <c r="AK165" s="14">
        <f t="shared" si="164"/>
        <v>158.45260607332136</v>
      </c>
      <c r="AL165" s="22">
        <f t="shared" si="165"/>
        <v>1568.4850794793695</v>
      </c>
      <c r="AM165" s="62">
        <f t="shared" si="113"/>
        <v>1861.8184128127027</v>
      </c>
      <c r="AN165" s="62">
        <f ca="1">AVERAGE(OFFSET($AM$3,0,0,'Données projet'!$E$10+1,1))-AVERAGE(OFFSET($H$3,0,0,'Données projet'!$E$10+1,1))</f>
        <v>886.54265074144564</v>
      </c>
      <c r="AO165" s="62">
        <f t="shared" si="144"/>
        <v>254.8922423500004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3.979039320256561E-13</v>
      </c>
      <c r="BE165" s="14">
        <f>BD165*VLOOKUP('Données projet'!$B$11,Paramètres!$A$1:$I$89,3,0)*VLOOKUP('Données projet'!$B$11,Paramètres!$A$1:$I$89,5,0)</f>
        <v>4.5838532969355584E-13</v>
      </c>
      <c r="BF165" s="14">
        <f t="shared" si="167"/>
        <v>5.7678707532255958E-12</v>
      </c>
      <c r="BG165" s="22">
        <f t="shared" si="168"/>
        <v>1.0844062677750854E-11</v>
      </c>
      <c r="BH165" s="62">
        <f t="shared" si="116"/>
        <v>293.33333333334417</v>
      </c>
      <c r="BI165" s="62">
        <f ca="1">AVERAGE(OFFSET($BH$3,0,0,'Données projet'!$E$11+1,1))-AVERAGE(OFFSET($H$3,0,0,'Données projet'!$E$11+1,1))</f>
        <v>165.98015798223548</v>
      </c>
      <c r="BJ165" s="62">
        <f t="shared" si="146"/>
        <v>143.97979034100706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-9.6479197964072245E-13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335.16942824912076</v>
      </c>
      <c r="CE165" s="62">
        <f t="shared" si="148"/>
        <v>190.00559730122677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152.63300189110146</v>
      </c>
      <c r="T166" s="62">
        <f t="shared" si="142"/>
        <v>236.66430374499453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0.96895152365983128</v>
      </c>
      <c r="AA166" s="23">
        <f>EXP(-LN(2)/25)*AA165+(1-EXP(-LN(2)/25))/(LN(2)/25)*Calculateur!V166*Calculateur!X166*VLOOKUP('Données projet'!$B$9,Paramètres!$A$1:$I$89,3,0)*0.475*44/12</f>
        <v>0.24510826858527368</v>
      </c>
      <c r="AB166" s="23">
        <f>EXP(-LN(2)/2)*AB165+(1-EXP(-LN(2)/2))/(LN(2)/2)*V166*Y166*VLOOKUP('Données projet'!$B$9,Paramètres!$A$1:$I$89,3,0)*0.475*44/12</f>
        <v>2.8049813752304072E-20</v>
      </c>
      <c r="AC166" s="24">
        <f t="shared" si="163"/>
        <v>1.2140597922451049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4.9423249999999994</v>
      </c>
      <c r="AI166" s="14">
        <f>IF('Données projet'!$A$62&gt;35,AI165+AH166-AQ165,IF(A166&lt;'Données projet'!$A$62,$AF$205^A166,IF(A166='Données projet'!$A$62,'Données projet'!$B$62,AI165+AH166-AQ165)))</f>
        <v>684.53297500000076</v>
      </c>
      <c r="AJ166" s="14">
        <f>AI166*VLOOKUP('Données projet'!$B$10,Paramètres!$A$1:$I$89,3,0)*VLOOKUP('Données projet'!$B$10,Paramètres!$A$1:$I$89,5,0)</f>
        <v>747.51000870000075</v>
      </c>
      <c r="AK166" s="14">
        <f t="shared" si="164"/>
        <v>159.47039011397229</v>
      </c>
      <c r="AL166" s="22">
        <f t="shared" si="165"/>
        <v>1579.6575279343363</v>
      </c>
      <c r="AM166" s="62">
        <f t="shared" si="113"/>
        <v>1872.9908612676695</v>
      </c>
      <c r="AN166" s="62">
        <f ca="1">AVERAGE(OFFSET($AM$3,0,0,'Données projet'!$E$10+1,1))-AVERAGE(OFFSET($H$3,0,0,'Données projet'!$E$10+1,1))</f>
        <v>886.54265074144564</v>
      </c>
      <c r="AO166" s="62">
        <f t="shared" si="144"/>
        <v>254.8922423500004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3.979039320256561E-13</v>
      </c>
      <c r="BE166" s="14">
        <f>BD166*VLOOKUP('Données projet'!$B$11,Paramètres!$A$1:$I$89,3,0)*VLOOKUP('Données projet'!$B$11,Paramètres!$A$1:$I$89,5,0)</f>
        <v>4.5838532969355584E-13</v>
      </c>
      <c r="BF166" s="14">
        <f t="shared" si="167"/>
        <v>5.7678707532255958E-12</v>
      </c>
      <c r="BG166" s="22">
        <f t="shared" si="168"/>
        <v>1.0844062677750854E-11</v>
      </c>
      <c r="BH166" s="62">
        <f t="shared" si="116"/>
        <v>293.33333333334417</v>
      </c>
      <c r="BI166" s="62">
        <f ca="1">AVERAGE(OFFSET($BH$3,0,0,'Données projet'!$E$11+1,1))-AVERAGE(OFFSET($H$3,0,0,'Données projet'!$E$11+1,1))</f>
        <v>165.98015798223548</v>
      </c>
      <c r="BJ166" s="62">
        <f t="shared" si="146"/>
        <v>143.97979034100706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-9.6479197964072245E-13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335.16942824912076</v>
      </c>
      <c r="CE166" s="62">
        <f t="shared" si="148"/>
        <v>190.00559730122677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152.63300189110146</v>
      </c>
      <c r="T167" s="62">
        <f t="shared" si="142"/>
        <v>236.66430374499453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0.94995097528293482</v>
      </c>
      <c r="AA167" s="23">
        <f>EXP(-LN(2)/25)*AA166+(1-EXP(-LN(2)/25))/(LN(2)/25)*Calculateur!V167*Calculateur!X167*VLOOKUP('Données projet'!$B$9,Paramètres!$A$1:$I$89,3,0)*0.475*44/12</f>
        <v>0.23840577009112573</v>
      </c>
      <c r="AB167" s="23">
        <f>EXP(-LN(2)/2)*AB166+(1-EXP(-LN(2)/2))/(LN(2)/2)*V167*Y167*VLOOKUP('Données projet'!$B$9,Paramètres!$A$1:$I$89,3,0)*0.475*44/12</f>
        <v>1.9834213515273887E-20</v>
      </c>
      <c r="AC167" s="24">
        <f t="shared" si="163"/>
        <v>1.1883567453740604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4.9423249999999994</v>
      </c>
      <c r="AI167" s="14">
        <f>IF('Données projet'!$A$62&gt;35,AI166+AH167-AQ166,IF(A167&lt;'Données projet'!$A$62,$AF$205^A167,IF(A167='Données projet'!$A$62,'Données projet'!$B$62,AI166+AH167-AQ166)))</f>
        <v>689.47530000000074</v>
      </c>
      <c r="AJ167" s="14">
        <f>AI167*VLOOKUP('Données projet'!$B$10,Paramètres!$A$1:$I$89,3,0)*VLOOKUP('Données projet'!$B$10,Paramètres!$A$1:$I$89,5,0)</f>
        <v>752.90702760000079</v>
      </c>
      <c r="AK167" s="14">
        <f t="shared" si="164"/>
        <v>160.48731915277051</v>
      </c>
      <c r="AL167" s="22">
        <f t="shared" si="165"/>
        <v>1590.8284872610766</v>
      </c>
      <c r="AM167" s="62">
        <f t="shared" si="113"/>
        <v>1884.1618205944098</v>
      </c>
      <c r="AN167" s="62">
        <f ca="1">AVERAGE(OFFSET($AM$3,0,0,'Données projet'!$E$10+1,1))-AVERAGE(OFFSET($H$3,0,0,'Données projet'!$E$10+1,1))</f>
        <v>886.54265074144564</v>
      </c>
      <c r="AO167" s="62">
        <f t="shared" si="144"/>
        <v>254.8922423500004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3.979039320256561E-13</v>
      </c>
      <c r="BE167" s="14">
        <f>BD167*VLOOKUP('Données projet'!$B$11,Paramètres!$A$1:$I$89,3,0)*VLOOKUP('Données projet'!$B$11,Paramètres!$A$1:$I$89,5,0)</f>
        <v>4.5838532969355584E-13</v>
      </c>
      <c r="BF167" s="14">
        <f t="shared" si="167"/>
        <v>5.7678707532255958E-12</v>
      </c>
      <c r="BG167" s="22">
        <f t="shared" si="168"/>
        <v>1.0844062677750854E-11</v>
      </c>
      <c r="BH167" s="62">
        <f t="shared" si="116"/>
        <v>293.33333333334417</v>
      </c>
      <c r="BI167" s="62">
        <f ca="1">AVERAGE(OFFSET($BH$3,0,0,'Données projet'!$E$11+1,1))-AVERAGE(OFFSET($H$3,0,0,'Données projet'!$E$11+1,1))</f>
        <v>165.98015798223548</v>
      </c>
      <c r="BJ167" s="62">
        <f t="shared" si="146"/>
        <v>143.97979034100706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-9.6479197964072245E-13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335.16942824912076</v>
      </c>
      <c r="CE167" s="62">
        <f t="shared" si="148"/>
        <v>190.00559730122677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152.63300189110146</v>
      </c>
      <c r="T168" s="62">
        <f t="shared" si="142"/>
        <v>236.66430374499453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0.93132301607051915</v>
      </c>
      <c r="AA168" s="23">
        <f>EXP(-LN(2)/25)*AA167+(1-EXP(-LN(2)/25))/(LN(2)/25)*Calculateur!V168*Calculateur!X168*VLOOKUP('Données projet'!$B$9,Paramètres!$A$1:$I$89,3,0)*0.475*44/12</f>
        <v>0.23188655177076933</v>
      </c>
      <c r="AB168" s="23">
        <f>EXP(-LN(2)/2)*AB167+(1-EXP(-LN(2)/2))/(LN(2)/2)*V168*Y168*VLOOKUP('Données projet'!$B$9,Paramètres!$A$1:$I$89,3,0)*0.475*44/12</f>
        <v>1.4024906876152036E-20</v>
      </c>
      <c r="AC168" s="24">
        <f t="shared" si="163"/>
        <v>1.1632095678412884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4.9423249999999994</v>
      </c>
      <c r="AI168" s="14">
        <f>IF('Données projet'!$A$62&gt;35,AI167+AH168-AQ167,IF(A168&lt;'Données projet'!$A$62,$AF$205^A168,IF(A168='Données projet'!$A$62,'Données projet'!$B$62,AI167+AH168-AQ167)))</f>
        <v>694.41762500000073</v>
      </c>
      <c r="AJ168" s="14">
        <f>AI168*VLOOKUP('Données projet'!$B$10,Paramètres!$A$1:$I$89,3,0)*VLOOKUP('Données projet'!$B$10,Paramètres!$A$1:$I$89,5,0)</f>
        <v>758.30404650000082</v>
      </c>
      <c r="AK168" s="14">
        <f t="shared" si="164"/>
        <v>161.50340002923855</v>
      </c>
      <c r="AL168" s="22">
        <f t="shared" si="165"/>
        <v>1601.9979693717585</v>
      </c>
      <c r="AM168" s="62">
        <f t="shared" si="113"/>
        <v>1895.3313027050917</v>
      </c>
      <c r="AN168" s="62">
        <f ca="1">AVERAGE(OFFSET($AM$3,0,0,'Données projet'!$E$10+1,1))-AVERAGE(OFFSET($H$3,0,0,'Données projet'!$E$10+1,1))</f>
        <v>886.54265074144564</v>
      </c>
      <c r="AO168" s="62">
        <f t="shared" si="144"/>
        <v>254.8922423500004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3.979039320256561E-13</v>
      </c>
      <c r="BE168" s="14">
        <f>BD168*VLOOKUP('Données projet'!$B$11,Paramètres!$A$1:$I$89,3,0)*VLOOKUP('Données projet'!$B$11,Paramètres!$A$1:$I$89,5,0)</f>
        <v>4.5838532969355584E-13</v>
      </c>
      <c r="BF168" s="14">
        <f t="shared" si="167"/>
        <v>5.7678707532255958E-12</v>
      </c>
      <c r="BG168" s="22">
        <f t="shared" si="168"/>
        <v>1.0844062677750854E-11</v>
      </c>
      <c r="BH168" s="62">
        <f t="shared" si="116"/>
        <v>293.33333333334417</v>
      </c>
      <c r="BI168" s="62">
        <f ca="1">AVERAGE(OFFSET($BH$3,0,0,'Données projet'!$E$11+1,1))-AVERAGE(OFFSET($H$3,0,0,'Données projet'!$E$11+1,1))</f>
        <v>165.98015798223548</v>
      </c>
      <c r="BJ168" s="62">
        <f t="shared" si="146"/>
        <v>143.97979034100706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-9.6479197964072245E-13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335.16942824912076</v>
      </c>
      <c r="CE168" s="62">
        <f t="shared" si="148"/>
        <v>190.00559730122677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152.63300189110146</v>
      </c>
      <c r="T169" s="62">
        <f t="shared" si="142"/>
        <v>236.66430374499453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0.91306033977632572</v>
      </c>
      <c r="AA169" s="23">
        <f>EXP(-LN(2)/25)*AA168+(1-EXP(-LN(2)/25))/(LN(2)/25)*Calculateur!V169*Calculateur!X169*VLOOKUP('Données projet'!$B$9,Paramètres!$A$1:$I$89,3,0)*0.475*44/12</f>
        <v>0.22554560181821387</v>
      </c>
      <c r="AB169" s="23">
        <f>EXP(-LN(2)/2)*AB168+(1-EXP(-LN(2)/2))/(LN(2)/2)*V169*Y169*VLOOKUP('Données projet'!$B$9,Paramètres!$A$1:$I$89,3,0)*0.475*44/12</f>
        <v>9.9171067576369436E-21</v>
      </c>
      <c r="AC169" s="24">
        <f t="shared" si="163"/>
        <v>1.1386059415945395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4.9423249999999994</v>
      </c>
      <c r="AI169" s="14">
        <f>IF('Données projet'!$A$62&gt;35,AI168+AH169-AQ168,IF(A169&lt;'Données projet'!$A$62,$AF$205^A169,IF(A169='Données projet'!$A$62,'Données projet'!$B$62,AI168+AH169-AQ168)))</f>
        <v>699.35995000000071</v>
      </c>
      <c r="AJ169" s="14">
        <f>AI169*VLOOKUP('Données projet'!$B$10,Paramètres!$A$1:$I$89,3,0)*VLOOKUP('Données projet'!$B$10,Paramètres!$A$1:$I$89,5,0)</f>
        <v>763.70106540000074</v>
      </c>
      <c r="AK169" s="14">
        <f t="shared" si="164"/>
        <v>162.51863947991558</v>
      </c>
      <c r="AL169" s="22">
        <f t="shared" si="165"/>
        <v>1613.1659859991876</v>
      </c>
      <c r="AM169" s="62">
        <f t="shared" si="113"/>
        <v>1906.4993193325208</v>
      </c>
      <c r="AN169" s="62">
        <f ca="1">AVERAGE(OFFSET($AM$3,0,0,'Données projet'!$E$10+1,1))-AVERAGE(OFFSET($H$3,0,0,'Données projet'!$E$10+1,1))</f>
        <v>886.54265074144564</v>
      </c>
      <c r="AO169" s="62">
        <f t="shared" si="144"/>
        <v>254.8922423500004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3.979039320256561E-13</v>
      </c>
      <c r="BE169" s="14">
        <f>BD169*VLOOKUP('Données projet'!$B$11,Paramètres!$A$1:$I$89,3,0)*VLOOKUP('Données projet'!$B$11,Paramètres!$A$1:$I$89,5,0)</f>
        <v>4.5838532969355584E-13</v>
      </c>
      <c r="BF169" s="14">
        <f t="shared" si="167"/>
        <v>5.7678707532255958E-12</v>
      </c>
      <c r="BG169" s="22">
        <f t="shared" si="168"/>
        <v>1.0844062677750854E-11</v>
      </c>
      <c r="BH169" s="62">
        <f t="shared" si="116"/>
        <v>293.33333333334417</v>
      </c>
      <c r="BI169" s="62">
        <f ca="1">AVERAGE(OFFSET($BH$3,0,0,'Données projet'!$E$11+1,1))-AVERAGE(OFFSET($H$3,0,0,'Données projet'!$E$11+1,1))</f>
        <v>165.98015798223548</v>
      </c>
      <c r="BJ169" s="62">
        <f t="shared" si="146"/>
        <v>143.97979034100706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-9.6479197964072245E-13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335.16942824912076</v>
      </c>
      <c r="CE169" s="62">
        <f t="shared" si="148"/>
        <v>190.00559730122677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152.63300189110146</v>
      </c>
      <c r="T170" s="62">
        <f t="shared" si="142"/>
        <v>236.66430374499453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0.8951557834251288</v>
      </c>
      <c r="AA170" s="23">
        <f>EXP(-LN(2)/25)*AA169+(1-EXP(-LN(2)/25))/(LN(2)/25)*Calculateur!V170*Calculateur!X170*VLOOKUP('Données projet'!$B$9,Paramètres!$A$1:$I$89,3,0)*0.475*44/12</f>
        <v>0.21937804547556711</v>
      </c>
      <c r="AB170" s="23">
        <f>EXP(-LN(2)/2)*AB169+(1-EXP(-LN(2)/2))/(LN(2)/2)*V170*Y170*VLOOKUP('Données projet'!$B$9,Paramètres!$A$1:$I$89,3,0)*0.475*44/12</f>
        <v>7.0124534380760179E-21</v>
      </c>
      <c r="AC170" s="24">
        <f t="shared" si="163"/>
        <v>1.1145338289006959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4.9423249999999994</v>
      </c>
      <c r="AI170" s="14">
        <f>IF('Données projet'!$A$62&gt;35,AI169+AH170-AQ169,IF(A170&lt;'Données projet'!$A$62,$AF$205^A170,IF(A170='Données projet'!$A$62,'Données projet'!$B$62,AI169+AH170-AQ169)))</f>
        <v>704.30227500000069</v>
      </c>
      <c r="AJ170" s="14">
        <f>AI170*VLOOKUP('Données projet'!$B$10,Paramètres!$A$1:$I$89,3,0)*VLOOKUP('Données projet'!$B$10,Paramètres!$A$1:$I$89,5,0)</f>
        <v>769.09808430000078</v>
      </c>
      <c r="AK170" s="14">
        <f t="shared" si="164"/>
        <v>163.53304414062507</v>
      </c>
      <c r="AL170" s="22">
        <f t="shared" si="165"/>
        <v>1624.3325487007567</v>
      </c>
      <c r="AM170" s="62">
        <f t="shared" si="113"/>
        <v>1917.6658820340899</v>
      </c>
      <c r="AN170" s="62">
        <f ca="1">AVERAGE(OFFSET($AM$3,0,0,'Données projet'!$E$10+1,1))-AVERAGE(OFFSET($H$3,0,0,'Données projet'!$E$10+1,1))</f>
        <v>886.54265074144564</v>
      </c>
      <c r="AO170" s="62">
        <f t="shared" si="144"/>
        <v>254.8922423500004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3.979039320256561E-13</v>
      </c>
      <c r="BE170" s="14">
        <f>BD170*VLOOKUP('Données projet'!$B$11,Paramètres!$A$1:$I$89,3,0)*VLOOKUP('Données projet'!$B$11,Paramètres!$A$1:$I$89,5,0)</f>
        <v>4.5838532969355584E-13</v>
      </c>
      <c r="BF170" s="14">
        <f t="shared" si="167"/>
        <v>5.7678707532255958E-12</v>
      </c>
      <c r="BG170" s="22">
        <f t="shared" si="168"/>
        <v>1.0844062677750854E-11</v>
      </c>
      <c r="BH170" s="62">
        <f t="shared" si="116"/>
        <v>293.33333333334417</v>
      </c>
      <c r="BI170" s="62">
        <f ca="1">AVERAGE(OFFSET($BH$3,0,0,'Données projet'!$E$11+1,1))-AVERAGE(OFFSET($H$3,0,0,'Données projet'!$E$11+1,1))</f>
        <v>165.98015798223548</v>
      </c>
      <c r="BJ170" s="62">
        <f t="shared" si="146"/>
        <v>143.97979034100706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-9.6479197964072245E-13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335.16942824912076</v>
      </c>
      <c r="CE170" s="62">
        <f t="shared" si="148"/>
        <v>190.00559730122677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152.63300189110146</v>
      </c>
      <c r="T171" s="62">
        <f t="shared" si="142"/>
        <v>236.66430374499453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0.8776023245032778</v>
      </c>
      <c r="AA171" s="23">
        <f>EXP(-LN(2)/25)*AA170+(1-EXP(-LN(2)/25))/(LN(2)/25)*Calculateur!V171*Calculateur!X171*VLOOKUP('Données projet'!$B$9,Paramètres!$A$1:$I$89,3,0)*0.475*44/12</f>
        <v>0.21337914128544772</v>
      </c>
      <c r="AB171" s="23">
        <f>EXP(-LN(2)/2)*AB170+(1-EXP(-LN(2)/2))/(LN(2)/2)*V171*Y171*VLOOKUP('Données projet'!$B$9,Paramètres!$A$1:$I$89,3,0)*0.475*44/12</f>
        <v>4.9585533788184718E-21</v>
      </c>
      <c r="AC171" s="24">
        <f t="shared" si="163"/>
        <v>1.0909814657887256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4.9423249999999994</v>
      </c>
      <c r="AI171" s="14">
        <f>IF('Données projet'!$A$62&gt;35,AI170+AH171-AQ170,IF(A171&lt;'Données projet'!$A$62,$AF$205^A171,IF(A171='Données projet'!$A$62,'Données projet'!$B$62,AI170+AH171-AQ170)))</f>
        <v>709.24460000000067</v>
      </c>
      <c r="AJ171" s="14">
        <f>AI171*VLOOKUP('Données projet'!$B$10,Paramètres!$A$1:$I$89,3,0)*VLOOKUP('Données projet'!$B$10,Paramètres!$A$1:$I$89,5,0)</f>
        <v>774.4951032000007</v>
      </c>
      <c r="AK171" s="14">
        <f t="shared" si="164"/>
        <v>164.54662054867686</v>
      </c>
      <c r="AL171" s="22">
        <f t="shared" si="165"/>
        <v>1635.4976688622801</v>
      </c>
      <c r="AM171" s="62">
        <f t="shared" si="113"/>
        <v>1928.8310021956133</v>
      </c>
      <c r="AN171" s="62">
        <f ca="1">AVERAGE(OFFSET($AM$3,0,0,'Données projet'!$E$10+1,1))-AVERAGE(OFFSET($H$3,0,0,'Données projet'!$E$10+1,1))</f>
        <v>886.54265074144564</v>
      </c>
      <c r="AO171" s="62">
        <f t="shared" si="144"/>
        <v>254.8922423500004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3.979039320256561E-13</v>
      </c>
      <c r="BE171" s="14">
        <f>BD171*VLOOKUP('Données projet'!$B$11,Paramètres!$A$1:$I$89,3,0)*VLOOKUP('Données projet'!$B$11,Paramètres!$A$1:$I$89,5,0)</f>
        <v>4.5838532969355584E-13</v>
      </c>
      <c r="BF171" s="14">
        <f t="shared" si="167"/>
        <v>5.7678707532255958E-12</v>
      </c>
      <c r="BG171" s="22">
        <f t="shared" si="168"/>
        <v>1.0844062677750854E-11</v>
      </c>
      <c r="BH171" s="62">
        <f t="shared" si="116"/>
        <v>293.33333333334417</v>
      </c>
      <c r="BI171" s="62">
        <f ca="1">AVERAGE(OFFSET($BH$3,0,0,'Données projet'!$E$11+1,1))-AVERAGE(OFFSET($H$3,0,0,'Données projet'!$E$11+1,1))</f>
        <v>165.98015798223548</v>
      </c>
      <c r="BJ171" s="62">
        <f t="shared" si="146"/>
        <v>143.97979034100706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-9.6479197964072245E-13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335.16942824912076</v>
      </c>
      <c r="CE171" s="62">
        <f t="shared" si="148"/>
        <v>190.00559730122677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152.63300189110146</v>
      </c>
      <c r="T172" s="62">
        <f t="shared" si="142"/>
        <v>236.66430374499453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0.86039307820433153</v>
      </c>
      <c r="AA172" s="23">
        <f>EXP(-LN(2)/25)*AA171+(1-EXP(-LN(2)/25))/(LN(2)/25)*Calculateur!V172*Calculateur!X172*VLOOKUP('Données projet'!$B$9,Paramètres!$A$1:$I$89,3,0)*0.475*44/12</f>
        <v>0.20754427744587578</v>
      </c>
      <c r="AB172" s="23">
        <f>EXP(-LN(2)/2)*AB171+(1-EXP(-LN(2)/2))/(LN(2)/2)*V172*Y172*VLOOKUP('Données projet'!$B$9,Paramètres!$A$1:$I$89,3,0)*0.475*44/12</f>
        <v>3.506226719038009E-21</v>
      </c>
      <c r="AC172" s="24">
        <f t="shared" si="163"/>
        <v>1.0679373556502072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4.9423249999999994</v>
      </c>
      <c r="AI172" s="14">
        <f>IF('Données projet'!$A$62&gt;35,AI171+AH172-AQ171,IF(A172&lt;'Données projet'!$A$62,$AF$205^A172,IF(A172='Données projet'!$A$62,'Données projet'!$B$62,AI171+AH172-AQ171)))</f>
        <v>714.18692500000066</v>
      </c>
      <c r="AJ172" s="14">
        <f>AI172*VLOOKUP('Données projet'!$B$10,Paramètres!$A$1:$I$89,3,0)*VLOOKUP('Données projet'!$B$10,Paramètres!$A$1:$I$89,5,0)</f>
        <v>779.89212210000073</v>
      </c>
      <c r="AK172" s="14">
        <f t="shared" si="164"/>
        <v>165.55937514500482</v>
      </c>
      <c r="AL172" s="22">
        <f t="shared" si="165"/>
        <v>1646.6613577017181</v>
      </c>
      <c r="AM172" s="62">
        <f t="shared" si="113"/>
        <v>1939.9946910350513</v>
      </c>
      <c r="AN172" s="62">
        <f ca="1">AVERAGE(OFFSET($AM$3,0,0,'Données projet'!$E$10+1,1))-AVERAGE(OFFSET($H$3,0,0,'Données projet'!$E$10+1,1))</f>
        <v>886.54265074144564</v>
      </c>
      <c r="AO172" s="62">
        <f t="shared" si="144"/>
        <v>254.8922423500004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3.979039320256561E-13</v>
      </c>
      <c r="BE172" s="14">
        <f>BD172*VLOOKUP('Données projet'!$B$11,Paramètres!$A$1:$I$89,3,0)*VLOOKUP('Données projet'!$B$11,Paramètres!$A$1:$I$89,5,0)</f>
        <v>4.5838532969355584E-13</v>
      </c>
      <c r="BF172" s="14">
        <f t="shared" si="167"/>
        <v>5.7678707532255958E-12</v>
      </c>
      <c r="BG172" s="22">
        <f t="shared" si="168"/>
        <v>1.0844062677750854E-11</v>
      </c>
      <c r="BH172" s="62">
        <f t="shared" si="116"/>
        <v>293.33333333334417</v>
      </c>
      <c r="BI172" s="62">
        <f ca="1">AVERAGE(OFFSET($BH$3,0,0,'Données projet'!$E$11+1,1))-AVERAGE(OFFSET($H$3,0,0,'Données projet'!$E$11+1,1))</f>
        <v>165.98015798223548</v>
      </c>
      <c r="BJ172" s="62">
        <f t="shared" si="146"/>
        <v>143.97979034100706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-9.6479197964072245E-13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335.16942824912076</v>
      </c>
      <c r="CE172" s="62">
        <f t="shared" si="148"/>
        <v>190.00559730122677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152.63300189110146</v>
      </c>
      <c r="T173" s="62">
        <f t="shared" si="142"/>
        <v>236.66430374499453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0.84352129472870374</v>
      </c>
      <c r="AA173" s="23">
        <f>EXP(-LN(2)/25)*AA172+(1-EXP(-LN(2)/25))/(LN(2)/25)*Calculateur!V173*Calculateur!X173*VLOOKUP('Données projet'!$B$9,Paramètres!$A$1:$I$89,3,0)*0.475*44/12</f>
        <v>0.2018689682648391</v>
      </c>
      <c r="AB173" s="23">
        <f>EXP(-LN(2)/2)*AB172+(1-EXP(-LN(2)/2))/(LN(2)/2)*V173*Y173*VLOOKUP('Données projet'!$B$9,Paramètres!$A$1:$I$89,3,0)*0.475*44/12</f>
        <v>2.4792766894092359E-21</v>
      </c>
      <c r="AC173" s="24">
        <f t="shared" si="163"/>
        <v>1.0453902629935428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4.9423249999999994</v>
      </c>
      <c r="AI173" s="14">
        <f>IF('Données projet'!$A$62&gt;35,AI172+AH173-AQ172,IF(A173&lt;'Données projet'!$A$62,$AF$205^A173,IF(A173='Données projet'!$A$62,'Données projet'!$B$62,AI172+AH173-AQ172)))</f>
        <v>719.12925000000064</v>
      </c>
      <c r="AJ173" s="14">
        <f>AI173*VLOOKUP('Données projet'!$B$10,Paramètres!$A$1:$I$89,3,0)*VLOOKUP('Données projet'!$B$10,Paramètres!$A$1:$I$89,5,0)</f>
        <v>785.28914100000065</v>
      </c>
      <c r="AK173" s="14">
        <f t="shared" si="164"/>
        <v>166.5713142762454</v>
      </c>
      <c r="AL173" s="22">
        <f t="shared" si="165"/>
        <v>1657.8236262727951</v>
      </c>
      <c r="AM173" s="62">
        <f t="shared" si="113"/>
        <v>1951.1569596061283</v>
      </c>
      <c r="AN173" s="62">
        <f ca="1">AVERAGE(OFFSET($AM$3,0,0,'Données projet'!$E$10+1,1))-AVERAGE(OFFSET($H$3,0,0,'Données projet'!$E$10+1,1))</f>
        <v>886.54265074144564</v>
      </c>
      <c r="AO173" s="62">
        <f t="shared" si="144"/>
        <v>254.8922423500004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3.979039320256561E-13</v>
      </c>
      <c r="BE173" s="14">
        <f>BD173*VLOOKUP('Données projet'!$B$11,Paramètres!$A$1:$I$89,3,0)*VLOOKUP('Données projet'!$B$11,Paramètres!$A$1:$I$89,5,0)</f>
        <v>4.5838532969355584E-13</v>
      </c>
      <c r="BF173" s="14">
        <f t="shared" si="167"/>
        <v>5.7678707532255958E-12</v>
      </c>
      <c r="BG173" s="22">
        <f t="shared" si="168"/>
        <v>1.0844062677750854E-11</v>
      </c>
      <c r="BH173" s="62">
        <f t="shared" si="116"/>
        <v>293.33333333334417</v>
      </c>
      <c r="BI173" s="62">
        <f ca="1">AVERAGE(OFFSET($BH$3,0,0,'Données projet'!$E$11+1,1))-AVERAGE(OFFSET($H$3,0,0,'Données projet'!$E$11+1,1))</f>
        <v>165.98015798223548</v>
      </c>
      <c r="BJ173" s="62">
        <f t="shared" si="146"/>
        <v>143.97979034100706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-9.6479197964072245E-13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335.16942824912076</v>
      </c>
      <c r="CE173" s="62">
        <f t="shared" si="148"/>
        <v>190.00559730122677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152.63300189110146</v>
      </c>
      <c r="T174" s="62">
        <f t="shared" si="142"/>
        <v>236.66430374499453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0.82698035663626124</v>
      </c>
      <c r="AA174" s="23">
        <f>EXP(-LN(2)/25)*AA173+(1-EXP(-LN(2)/25))/(LN(2)/25)*Calculateur!V174*Calculateur!X174*VLOOKUP('Données projet'!$B$9,Paramètres!$A$1:$I$89,3,0)*0.475*44/12</f>
        <v>0.19634885071180941</v>
      </c>
      <c r="AB174" s="23">
        <f>EXP(-LN(2)/2)*AB173+(1-EXP(-LN(2)/2))/(LN(2)/2)*V174*Y174*VLOOKUP('Données projet'!$B$9,Paramètres!$A$1:$I$89,3,0)*0.475*44/12</f>
        <v>1.7531133595190045E-21</v>
      </c>
      <c r="AC174" s="24">
        <f t="shared" si="163"/>
        <v>1.0233292073480706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4.9423249999999994</v>
      </c>
      <c r="AI174" s="14">
        <f>IF('Données projet'!$A$62&gt;35,AI173+AH174-AQ173,IF(A174&lt;'Données projet'!$A$62,$AF$205^A174,IF(A174='Données projet'!$A$62,'Données projet'!$B$62,AI173+AH174-AQ173)))</f>
        <v>724.07157500000062</v>
      </c>
      <c r="AJ174" s="14">
        <f>AI174*VLOOKUP('Données projet'!$B$10,Paramètres!$A$1:$I$89,3,0)*VLOOKUP('Données projet'!$B$10,Paramètres!$A$1:$I$89,5,0)</f>
        <v>790.68615990000069</v>
      </c>
      <c r="AK174" s="14">
        <f t="shared" si="164"/>
        <v>167.58244419675628</v>
      </c>
      <c r="AL174" s="22">
        <f t="shared" si="165"/>
        <v>1668.9844854685182</v>
      </c>
      <c r="AM174" s="62">
        <f t="shared" si="113"/>
        <v>1962.3178188018514</v>
      </c>
      <c r="AN174" s="62">
        <f ca="1">AVERAGE(OFFSET($AM$3,0,0,'Données projet'!$E$10+1,1))-AVERAGE(OFFSET($H$3,0,0,'Données projet'!$E$10+1,1))</f>
        <v>886.54265074144564</v>
      </c>
      <c r="AO174" s="62">
        <f t="shared" si="144"/>
        <v>254.8922423500004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3.979039320256561E-13</v>
      </c>
      <c r="BE174" s="14">
        <f>BD174*VLOOKUP('Données projet'!$B$11,Paramètres!$A$1:$I$89,3,0)*VLOOKUP('Données projet'!$B$11,Paramètres!$A$1:$I$89,5,0)</f>
        <v>4.5838532969355584E-13</v>
      </c>
      <c r="BF174" s="14">
        <f t="shared" si="167"/>
        <v>5.7678707532255958E-12</v>
      </c>
      <c r="BG174" s="22">
        <f t="shared" si="168"/>
        <v>1.0844062677750854E-11</v>
      </c>
      <c r="BH174" s="62">
        <f t="shared" si="116"/>
        <v>293.33333333334417</v>
      </c>
      <c r="BI174" s="62">
        <f ca="1">AVERAGE(OFFSET($BH$3,0,0,'Données projet'!$E$11+1,1))-AVERAGE(OFFSET($H$3,0,0,'Données projet'!$E$11+1,1))</f>
        <v>165.98015798223548</v>
      </c>
      <c r="BJ174" s="62">
        <f t="shared" si="146"/>
        <v>143.97979034100706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-9.6479197964072245E-13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335.16942824912076</v>
      </c>
      <c r="CE174" s="62">
        <f t="shared" si="148"/>
        <v>190.00559730122677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152.63300189110146</v>
      </c>
      <c r="T175" s="62">
        <f t="shared" si="142"/>
        <v>236.66430374499453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0.81076377625083551</v>
      </c>
      <c r="AA175" s="23">
        <f>EXP(-LN(2)/25)*AA174+(1-EXP(-LN(2)/25))/(LN(2)/25)*Calculateur!V175*Calculateur!X175*VLOOKUP('Données projet'!$B$9,Paramètres!$A$1:$I$89,3,0)*0.475*44/12</f>
        <v>0.19097968106355767</v>
      </c>
      <c r="AB175" s="23">
        <f>EXP(-LN(2)/2)*AB174+(1-EXP(-LN(2)/2))/(LN(2)/2)*V175*Y175*VLOOKUP('Données projet'!$B$9,Paramètres!$A$1:$I$89,3,0)*0.475*44/12</f>
        <v>1.239638344704618E-21</v>
      </c>
      <c r="AC175" s="24">
        <f t="shared" si="163"/>
        <v>1.0017434573143933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4.9423249999999994</v>
      </c>
      <c r="AI175" s="14">
        <f>IF('Données projet'!$A$62&gt;35,AI174+AH175-AQ174,IF(A175&lt;'Données projet'!$A$62,$AF$205^A175,IF(A175='Données projet'!$A$62,'Données projet'!$B$62,AI174+AH175-AQ174)))</f>
        <v>729.0139000000006</v>
      </c>
      <c r="AJ175" s="14">
        <f>AI175*VLOOKUP('Données projet'!$B$10,Paramètres!$A$1:$I$89,3,0)*VLOOKUP('Données projet'!$B$10,Paramètres!$A$1:$I$89,5,0)</f>
        <v>796.08317880000061</v>
      </c>
      <c r="AK175" s="14">
        <f t="shared" si="164"/>
        <v>168.59277107057818</v>
      </c>
      <c r="AL175" s="22">
        <f t="shared" si="165"/>
        <v>1680.1439460245911</v>
      </c>
      <c r="AM175" s="62">
        <f t="shared" si="113"/>
        <v>1973.4772793579243</v>
      </c>
      <c r="AN175" s="62">
        <f ca="1">AVERAGE(OFFSET($AM$3,0,0,'Données projet'!$E$10+1,1))-AVERAGE(OFFSET($H$3,0,0,'Données projet'!$E$10+1,1))</f>
        <v>886.54265074144564</v>
      </c>
      <c r="AO175" s="62">
        <f t="shared" si="144"/>
        <v>254.8922423500004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3.979039320256561E-13</v>
      </c>
      <c r="BE175" s="14">
        <f>BD175*VLOOKUP('Données projet'!$B$11,Paramètres!$A$1:$I$89,3,0)*VLOOKUP('Données projet'!$B$11,Paramètres!$A$1:$I$89,5,0)</f>
        <v>4.5838532969355584E-13</v>
      </c>
      <c r="BF175" s="14">
        <f t="shared" si="167"/>
        <v>5.7678707532255958E-12</v>
      </c>
      <c r="BG175" s="22">
        <f t="shared" si="168"/>
        <v>1.0844062677750854E-11</v>
      </c>
      <c r="BH175" s="62">
        <f t="shared" si="116"/>
        <v>293.33333333334417</v>
      </c>
      <c r="BI175" s="62">
        <f ca="1">AVERAGE(OFFSET($BH$3,0,0,'Données projet'!$E$11+1,1))-AVERAGE(OFFSET($H$3,0,0,'Données projet'!$E$11+1,1))</f>
        <v>165.98015798223548</v>
      </c>
      <c r="BJ175" s="62">
        <f t="shared" si="146"/>
        <v>143.97979034100706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-9.6479197964072245E-13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335.16942824912076</v>
      </c>
      <c r="CE175" s="62">
        <f t="shared" si="148"/>
        <v>190.00559730122677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152.63300189110146</v>
      </c>
      <c r="T176" s="62">
        <f t="shared" si="142"/>
        <v>236.66430374499453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0.79486519311563064</v>
      </c>
      <c r="AA176" s="23">
        <f>EXP(-LN(2)/25)*AA175+(1-EXP(-LN(2)/25))/(LN(2)/25)*Calculateur!V176*Calculateur!X176*VLOOKUP('Données projet'!$B$9,Paramètres!$A$1:$I$89,3,0)*0.475*44/12</f>
        <v>0.18575733164168975</v>
      </c>
      <c r="AB176" s="23">
        <f>EXP(-LN(2)/2)*AB175+(1-EXP(-LN(2)/2))/(LN(2)/2)*V176*Y176*VLOOKUP('Données projet'!$B$9,Paramètres!$A$1:$I$89,3,0)*0.475*44/12</f>
        <v>8.7655667975950224E-22</v>
      </c>
      <c r="AC176" s="24">
        <f t="shared" si="163"/>
        <v>0.98062252475732037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4.9423249999999994</v>
      </c>
      <c r="AI176" s="14">
        <f>IF('Données projet'!$A$62&gt;35,AI175+AH176-AQ175,IF(A176&lt;'Données projet'!$A$62,$AF$205^A176,IF(A176='Données projet'!$A$62,'Données projet'!$B$62,AI175+AH176-AQ175)))</f>
        <v>733.95622500000059</v>
      </c>
      <c r="AJ176" s="14">
        <f>AI176*VLOOKUP('Données projet'!$B$10,Paramètres!$A$1:$I$89,3,0)*VLOOKUP('Données projet'!$B$10,Paramètres!$A$1:$I$89,5,0)</f>
        <v>801.48019770000064</v>
      </c>
      <c r="AK176" s="14">
        <f t="shared" si="164"/>
        <v>169.60230097334289</v>
      </c>
      <c r="AL176" s="22">
        <f t="shared" si="165"/>
        <v>1691.3020185227397</v>
      </c>
      <c r="AM176" s="62">
        <f t="shared" si="113"/>
        <v>1984.6353518560729</v>
      </c>
      <c r="AN176" s="62">
        <f ca="1">AVERAGE(OFFSET($AM$3,0,0,'Données projet'!$E$10+1,1))-AVERAGE(OFFSET($H$3,0,0,'Données projet'!$E$10+1,1))</f>
        <v>886.54265074144564</v>
      </c>
      <c r="AO176" s="62">
        <f t="shared" si="144"/>
        <v>254.8922423500004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3.979039320256561E-13</v>
      </c>
      <c r="BE176" s="14">
        <f>BD176*VLOOKUP('Données projet'!$B$11,Paramètres!$A$1:$I$89,3,0)*VLOOKUP('Données projet'!$B$11,Paramètres!$A$1:$I$89,5,0)</f>
        <v>4.5838532969355584E-13</v>
      </c>
      <c r="BF176" s="14">
        <f t="shared" si="167"/>
        <v>5.7678707532255958E-12</v>
      </c>
      <c r="BG176" s="22">
        <f t="shared" si="168"/>
        <v>1.0844062677750854E-11</v>
      </c>
      <c r="BH176" s="62">
        <f t="shared" si="116"/>
        <v>293.33333333334417</v>
      </c>
      <c r="BI176" s="62">
        <f ca="1">AVERAGE(OFFSET($BH$3,0,0,'Données projet'!$E$11+1,1))-AVERAGE(OFFSET($H$3,0,0,'Données projet'!$E$11+1,1))</f>
        <v>165.98015798223548</v>
      </c>
      <c r="BJ176" s="62">
        <f t="shared" si="146"/>
        <v>143.97979034100706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-9.6479197964072245E-13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335.16942824912076</v>
      </c>
      <c r="CE176" s="62">
        <f t="shared" si="148"/>
        <v>190.00559730122677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152.63300189110146</v>
      </c>
      <c r="T177" s="62">
        <f t="shared" si="142"/>
        <v>236.66430374499453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0.77927837149852897</v>
      </c>
      <c r="AA177" s="23">
        <f>EXP(-LN(2)/25)*AA176+(1-EXP(-LN(2)/25))/(LN(2)/25)*Calculateur!V177*Calculateur!X177*VLOOKUP('Données projet'!$B$9,Paramètres!$A$1:$I$89,3,0)*0.475*44/12</f>
        <v>0.18067778763939424</v>
      </c>
      <c r="AB177" s="23">
        <f>EXP(-LN(2)/2)*AB176+(1-EXP(-LN(2)/2))/(LN(2)/2)*V177*Y177*VLOOKUP('Données projet'!$B$9,Paramètres!$A$1:$I$89,3,0)*0.475*44/12</f>
        <v>6.1981917235230898E-22</v>
      </c>
      <c r="AC177" s="24">
        <f t="shared" si="163"/>
        <v>0.9599561591379232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4.9423249999999994</v>
      </c>
      <c r="AI177" s="14">
        <f>IF('Données projet'!$A$62&gt;35,AI176+AH177-AQ176,IF(A177&lt;'Données projet'!$A$62,$AF$205^A177,IF(A177='Données projet'!$A$62,'Données projet'!$B$62,AI176+AH177-AQ176)))</f>
        <v>738.89855000000057</v>
      </c>
      <c r="AJ177" s="14">
        <f>AI177*VLOOKUP('Données projet'!$B$10,Paramètres!$A$1:$I$89,3,0)*VLOOKUP('Données projet'!$B$10,Paramètres!$A$1:$I$89,5,0)</f>
        <v>806.87721660000068</v>
      </c>
      <c r="AK177" s="14">
        <f t="shared" si="164"/>
        <v>170.61103989412774</v>
      </c>
      <c r="AL177" s="22">
        <f t="shared" si="165"/>
        <v>1702.4587133939403</v>
      </c>
      <c r="AM177" s="62">
        <f t="shared" si="113"/>
        <v>1995.7920467272736</v>
      </c>
      <c r="AN177" s="62">
        <f ca="1">AVERAGE(OFFSET($AM$3,0,0,'Données projet'!$E$10+1,1))-AVERAGE(OFFSET($H$3,0,0,'Données projet'!$E$10+1,1))</f>
        <v>886.54265074144564</v>
      </c>
      <c r="AO177" s="62">
        <f t="shared" si="144"/>
        <v>254.8922423500004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3.979039320256561E-13</v>
      </c>
      <c r="BE177" s="14">
        <f>BD177*VLOOKUP('Données projet'!$B$11,Paramètres!$A$1:$I$89,3,0)*VLOOKUP('Données projet'!$B$11,Paramètres!$A$1:$I$89,5,0)</f>
        <v>4.5838532969355584E-13</v>
      </c>
      <c r="BF177" s="14">
        <f t="shared" si="167"/>
        <v>5.7678707532255958E-12</v>
      </c>
      <c r="BG177" s="22">
        <f t="shared" si="168"/>
        <v>1.0844062677750854E-11</v>
      </c>
      <c r="BH177" s="62">
        <f t="shared" si="116"/>
        <v>293.33333333334417</v>
      </c>
      <c r="BI177" s="62">
        <f ca="1">AVERAGE(OFFSET($BH$3,0,0,'Données projet'!$E$11+1,1))-AVERAGE(OFFSET($H$3,0,0,'Données projet'!$E$11+1,1))</f>
        <v>165.98015798223548</v>
      </c>
      <c r="BJ177" s="62">
        <f t="shared" si="146"/>
        <v>143.97979034100706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-9.6479197964072245E-13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335.16942824912076</v>
      </c>
      <c r="CE177" s="62">
        <f t="shared" si="148"/>
        <v>190.00559730122677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152.63300189110146</v>
      </c>
      <c r="T178" s="62">
        <f t="shared" si="142"/>
        <v>236.66430374499453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0.76399719794631615</v>
      </c>
      <c r="AA178" s="23">
        <f>EXP(-LN(2)/25)*AA177+(1-EXP(-LN(2)/25))/(LN(2)/25)*Calculateur!V178*Calculateur!X178*VLOOKUP('Données projet'!$B$9,Paramètres!$A$1:$I$89,3,0)*0.475*44/12</f>
        <v>0.1757371440349631</v>
      </c>
      <c r="AB178" s="23">
        <f>EXP(-LN(2)/2)*AB177+(1-EXP(-LN(2)/2))/(LN(2)/2)*V178*Y178*VLOOKUP('Données projet'!$B$9,Paramètres!$A$1:$I$89,3,0)*0.475*44/12</f>
        <v>4.3827833987975112E-22</v>
      </c>
      <c r="AC178" s="24">
        <f t="shared" si="163"/>
        <v>0.93973434198127925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4.9423249999999994</v>
      </c>
      <c r="AI178" s="14">
        <f>IF('Données projet'!$A$62&gt;35,AI177+AH178-AQ177,IF(A178&lt;'Données projet'!$A$62,$AF$205^A178,IF(A178='Données projet'!$A$62,'Données projet'!$B$62,AI177+AH178-AQ177)))</f>
        <v>743.84087500000055</v>
      </c>
      <c r="AJ178" s="14">
        <f>AI178*VLOOKUP('Données projet'!$B$10,Paramètres!$A$1:$I$89,3,0)*VLOOKUP('Données projet'!$B$10,Paramètres!$A$1:$I$89,5,0)</f>
        <v>812.27423550000049</v>
      </c>
      <c r="AK178" s="14">
        <f t="shared" si="164"/>
        <v>171.61899373725885</v>
      </c>
      <c r="AL178" s="22">
        <f t="shared" si="165"/>
        <v>1713.6140409215598</v>
      </c>
      <c r="AM178" s="62">
        <f t="shared" si="113"/>
        <v>2006.947374254893</v>
      </c>
      <c r="AN178" s="62">
        <f ca="1">AVERAGE(OFFSET($AM$3,0,0,'Données projet'!$E$10+1,1))-AVERAGE(OFFSET($H$3,0,0,'Données projet'!$E$10+1,1))</f>
        <v>886.54265074144564</v>
      </c>
      <c r="AO178" s="62">
        <f t="shared" si="144"/>
        <v>254.8922423500004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3.979039320256561E-13</v>
      </c>
      <c r="BE178" s="14">
        <f>BD178*VLOOKUP('Données projet'!$B$11,Paramètres!$A$1:$I$89,3,0)*VLOOKUP('Données projet'!$B$11,Paramètres!$A$1:$I$89,5,0)</f>
        <v>4.5838532969355584E-13</v>
      </c>
      <c r="BF178" s="14">
        <f t="shared" si="167"/>
        <v>5.7678707532255958E-12</v>
      </c>
      <c r="BG178" s="22">
        <f t="shared" si="168"/>
        <v>1.0844062677750854E-11</v>
      </c>
      <c r="BH178" s="62">
        <f t="shared" si="116"/>
        <v>293.33333333334417</v>
      </c>
      <c r="BI178" s="62">
        <f ca="1">AVERAGE(OFFSET($BH$3,0,0,'Données projet'!$E$11+1,1))-AVERAGE(OFFSET($H$3,0,0,'Données projet'!$E$11+1,1))</f>
        <v>165.98015798223548</v>
      </c>
      <c r="BJ178" s="62">
        <f t="shared" si="146"/>
        <v>143.97979034100706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-9.6479197964072245E-13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335.16942824912076</v>
      </c>
      <c r="CE178" s="62">
        <f t="shared" si="148"/>
        <v>190.00559730122677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152.63300189110146</v>
      </c>
      <c r="T179" s="62">
        <f t="shared" si="142"/>
        <v>236.66430374499453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0.74901567888686671</v>
      </c>
      <c r="AA179" s="23">
        <f>EXP(-LN(2)/25)*AA178+(1-EXP(-LN(2)/25))/(LN(2)/25)*Calculateur!V179*Calculateur!X179*VLOOKUP('Données projet'!$B$9,Paramètres!$A$1:$I$89,3,0)*0.475*44/12</f>
        <v>0.17093160258971229</v>
      </c>
      <c r="AB179" s="23">
        <f>EXP(-LN(2)/2)*AB178+(1-EXP(-LN(2)/2))/(LN(2)/2)*V179*Y179*VLOOKUP('Données projet'!$B$9,Paramètres!$A$1:$I$89,3,0)*0.475*44/12</f>
        <v>3.0990958617615449E-22</v>
      </c>
      <c r="AC179" s="24">
        <f t="shared" si="163"/>
        <v>0.919947281476579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4.9423249999999994</v>
      </c>
      <c r="AI179" s="14">
        <f>IF('Données projet'!$A$62&gt;35,AI178+AH179-AQ178,IF(A179&lt;'Données projet'!$A$62,$AF$205^A179,IF(A179='Données projet'!$A$62,'Données projet'!$B$62,AI178+AH179-AQ178)))</f>
        <v>748.78320000000053</v>
      </c>
      <c r="AJ179" s="14">
        <f>AI179*VLOOKUP('Données projet'!$B$10,Paramètres!$A$1:$I$89,3,0)*VLOOKUP('Données projet'!$B$10,Paramètres!$A$1:$I$89,5,0)</f>
        <v>817.67125440000052</v>
      </c>
      <c r="AK179" s="14">
        <f t="shared" si="164"/>
        <v>172.62616832406582</v>
      </c>
      <c r="AL179" s="22">
        <f t="shared" si="165"/>
        <v>1724.7680112444152</v>
      </c>
      <c r="AM179" s="62">
        <f t="shared" si="113"/>
        <v>2018.1013445777485</v>
      </c>
      <c r="AN179" s="62">
        <f ca="1">AVERAGE(OFFSET($AM$3,0,0,'Données projet'!$E$10+1,1))-AVERAGE(OFFSET($H$3,0,0,'Données projet'!$E$10+1,1))</f>
        <v>886.54265074144564</v>
      </c>
      <c r="AO179" s="62">
        <f t="shared" si="144"/>
        <v>254.8922423500004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3.979039320256561E-13</v>
      </c>
      <c r="BE179" s="14">
        <f>BD179*VLOOKUP('Données projet'!$B$11,Paramètres!$A$1:$I$89,3,0)*VLOOKUP('Données projet'!$B$11,Paramètres!$A$1:$I$89,5,0)</f>
        <v>4.5838532969355584E-13</v>
      </c>
      <c r="BF179" s="14">
        <f t="shared" si="167"/>
        <v>5.7678707532255958E-12</v>
      </c>
      <c r="BG179" s="22">
        <f t="shared" si="168"/>
        <v>1.0844062677750854E-11</v>
      </c>
      <c r="BH179" s="62">
        <f t="shared" si="116"/>
        <v>293.33333333334417</v>
      </c>
      <c r="BI179" s="62">
        <f ca="1">AVERAGE(OFFSET($BH$3,0,0,'Données projet'!$E$11+1,1))-AVERAGE(OFFSET($H$3,0,0,'Données projet'!$E$11+1,1))</f>
        <v>165.98015798223548</v>
      </c>
      <c r="BJ179" s="62">
        <f t="shared" si="146"/>
        <v>143.97979034100706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-9.6479197964072245E-13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335.16942824912076</v>
      </c>
      <c r="CE179" s="62">
        <f t="shared" si="148"/>
        <v>190.00559730122677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152.63300189110146</v>
      </c>
      <c r="T180" s="62">
        <f t="shared" si="142"/>
        <v>236.66430374499453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0.73432793827834875</v>
      </c>
      <c r="AA180" s="23">
        <f>EXP(-LN(2)/25)*AA179+(1-EXP(-LN(2)/25))/(LN(2)/25)*Calculateur!V180*Calculateur!X180*VLOOKUP('Données projet'!$B$9,Paramètres!$A$1:$I$89,3,0)*0.475*44/12</f>
        <v>0.16625746892799431</v>
      </c>
      <c r="AB180" s="23">
        <f>EXP(-LN(2)/2)*AB179+(1-EXP(-LN(2)/2))/(LN(2)/2)*V180*Y180*VLOOKUP('Données projet'!$B$9,Paramètres!$A$1:$I$89,3,0)*0.475*44/12</f>
        <v>2.1913916993987556E-22</v>
      </c>
      <c r="AC180" s="24">
        <f t="shared" si="163"/>
        <v>0.90058540720634306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4.9423249999999994</v>
      </c>
      <c r="AI180" s="14">
        <f>IF('Données projet'!$A$62&gt;35,AI179+AH180-AQ179,IF(A180&lt;'Données projet'!$A$62,$AF$205^A180,IF(A180='Données projet'!$A$62,'Données projet'!$B$62,AI179+AH180-AQ179)))</f>
        <v>753.72552500000052</v>
      </c>
      <c r="AJ180" s="14">
        <f>AI180*VLOOKUP('Données projet'!$B$10,Paramètres!$A$1:$I$89,3,0)*VLOOKUP('Données projet'!$B$10,Paramètres!$A$1:$I$89,5,0)</f>
        <v>823.06827330000056</v>
      </c>
      <c r="AK180" s="14">
        <f t="shared" si="164"/>
        <v>173.63256939458796</v>
      </c>
      <c r="AL180" s="22">
        <f t="shared" si="165"/>
        <v>1735.9206343597416</v>
      </c>
      <c r="AM180" s="62">
        <f t="shared" si="113"/>
        <v>2029.2539676930749</v>
      </c>
      <c r="AN180" s="62">
        <f ca="1">AVERAGE(OFFSET($AM$3,0,0,'Données projet'!$E$10+1,1))-AVERAGE(OFFSET($H$3,0,0,'Données projet'!$E$10+1,1))</f>
        <v>886.54265074144564</v>
      </c>
      <c r="AO180" s="62">
        <f t="shared" si="144"/>
        <v>254.8922423500004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3.979039320256561E-13</v>
      </c>
      <c r="BE180" s="14">
        <f>BD180*VLOOKUP('Données projet'!$B$11,Paramètres!$A$1:$I$89,3,0)*VLOOKUP('Données projet'!$B$11,Paramètres!$A$1:$I$89,5,0)</f>
        <v>4.5838532969355584E-13</v>
      </c>
      <c r="BF180" s="14">
        <f t="shared" si="167"/>
        <v>5.7678707532255958E-12</v>
      </c>
      <c r="BG180" s="22">
        <f t="shared" si="168"/>
        <v>1.0844062677750854E-11</v>
      </c>
      <c r="BH180" s="62">
        <f t="shared" si="116"/>
        <v>293.33333333334417</v>
      </c>
      <c r="BI180" s="62">
        <f ca="1">AVERAGE(OFFSET($BH$3,0,0,'Données projet'!$E$11+1,1))-AVERAGE(OFFSET($H$3,0,0,'Données projet'!$E$11+1,1))</f>
        <v>165.98015798223548</v>
      </c>
      <c r="BJ180" s="62">
        <f t="shared" si="146"/>
        <v>143.97979034100706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-9.6479197964072245E-13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335.16942824912076</v>
      </c>
      <c r="CE180" s="62">
        <f t="shared" si="148"/>
        <v>190.00559730122677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152.63300189110146</v>
      </c>
      <c r="T181" s="62">
        <f t="shared" si="142"/>
        <v>236.66430374499453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0.71992821530452666</v>
      </c>
      <c r="AA181" s="23">
        <f>EXP(-LN(2)/25)*AA180+(1-EXP(-LN(2)/25))/(LN(2)/25)*Calculateur!V181*Calculateur!X181*VLOOKUP('Données projet'!$B$9,Paramètres!$A$1:$I$89,3,0)*0.475*44/12</f>
        <v>0.16171114969705799</v>
      </c>
      <c r="AB181" s="23">
        <f>EXP(-LN(2)/2)*AB180+(1-EXP(-LN(2)/2))/(LN(2)/2)*V181*Y181*VLOOKUP('Données projet'!$B$9,Paramètres!$A$1:$I$89,3,0)*0.475*44/12</f>
        <v>1.5495479308807724E-22</v>
      </c>
      <c r="AC181" s="24">
        <f t="shared" si="163"/>
        <v>0.88163936500158469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4.9423249999999994</v>
      </c>
      <c r="AI181" s="14">
        <f>IF('Données projet'!$A$62&gt;35,AI180+AH181-AQ180,IF(A181&lt;'Données projet'!$A$62,$AF$205^A181,IF(A181='Données projet'!$A$62,'Données projet'!$B$62,AI180+AH181-AQ180)))</f>
        <v>758.6678500000005</v>
      </c>
      <c r="AJ181" s="14">
        <f>AI181*VLOOKUP('Données projet'!$B$10,Paramètres!$A$1:$I$89,3,0)*VLOOKUP('Données projet'!$B$10,Paramètres!$A$1:$I$89,5,0)</f>
        <v>828.46529220000059</v>
      </c>
      <c r="AK181" s="14">
        <f t="shared" si="164"/>
        <v>174.63820260923518</v>
      </c>
      <c r="AL181" s="22">
        <f t="shared" si="165"/>
        <v>1747.0719201260856</v>
      </c>
      <c r="AM181" s="62">
        <f t="shared" si="113"/>
        <v>2040.4052534594189</v>
      </c>
      <c r="AN181" s="62">
        <f ca="1">AVERAGE(OFFSET($AM$3,0,0,'Données projet'!$E$10+1,1))-AVERAGE(OFFSET($H$3,0,0,'Données projet'!$E$10+1,1))</f>
        <v>886.54265074144564</v>
      </c>
      <c r="AO181" s="62">
        <f t="shared" si="144"/>
        <v>254.8922423500004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3.979039320256561E-13</v>
      </c>
      <c r="BE181" s="14">
        <f>BD181*VLOOKUP('Données projet'!$B$11,Paramètres!$A$1:$I$89,3,0)*VLOOKUP('Données projet'!$B$11,Paramètres!$A$1:$I$89,5,0)</f>
        <v>4.5838532969355584E-13</v>
      </c>
      <c r="BF181" s="14">
        <f t="shared" si="167"/>
        <v>5.7678707532255958E-12</v>
      </c>
      <c r="BG181" s="22">
        <f t="shared" si="168"/>
        <v>1.0844062677750854E-11</v>
      </c>
      <c r="BH181" s="62">
        <f t="shared" si="116"/>
        <v>293.33333333334417</v>
      </c>
      <c r="BI181" s="62">
        <f ca="1">AVERAGE(OFFSET($BH$3,0,0,'Données projet'!$E$11+1,1))-AVERAGE(OFFSET($H$3,0,0,'Données projet'!$E$11+1,1))</f>
        <v>165.98015798223548</v>
      </c>
      <c r="BJ181" s="62">
        <f t="shared" si="146"/>
        <v>143.97979034100706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-9.6479197964072245E-13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335.16942824912076</v>
      </c>
      <c r="CE181" s="62">
        <f t="shared" si="148"/>
        <v>190.00559730122677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152.63300189110146</v>
      </c>
      <c r="T182" s="62">
        <f t="shared" si="142"/>
        <v>236.66430374499453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0.70581086211525745</v>
      </c>
      <c r="AA182" s="23">
        <f>EXP(-LN(2)/25)*AA181+(1-EXP(-LN(2)/25))/(LN(2)/25)*Calculateur!V182*Calculateur!X182*VLOOKUP('Données projet'!$B$9,Paramètres!$A$1:$I$89,3,0)*0.475*44/12</f>
        <v>0.15728914980457218</v>
      </c>
      <c r="AB182" s="23">
        <f>EXP(-LN(2)/2)*AB181+(1-EXP(-LN(2)/2))/(LN(2)/2)*V182*Y182*VLOOKUP('Données projet'!$B$9,Paramètres!$A$1:$I$89,3,0)*0.475*44/12</f>
        <v>1.0956958496993778E-22</v>
      </c>
      <c r="AC182" s="24">
        <f t="shared" si="163"/>
        <v>0.86310001191982966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4.9423249999999994</v>
      </c>
      <c r="AI182" s="14">
        <f>IF('Données projet'!$A$62&gt;35,AI181+AH182-AQ181,IF(A182&lt;'Données projet'!$A$62,$AF$205^A182,IF(A182='Données projet'!$A$62,'Données projet'!$B$62,AI181+AH182-AQ181)))</f>
        <v>763.61017500000048</v>
      </c>
      <c r="AJ182" s="14">
        <f>AI182*VLOOKUP('Données projet'!$B$10,Paramètres!$A$1:$I$89,3,0)*VLOOKUP('Données projet'!$B$10,Paramètres!$A$1:$I$89,5,0)</f>
        <v>833.86231110000062</v>
      </c>
      <c r="AK182" s="14">
        <f t="shared" si="164"/>
        <v>175.64307355040393</v>
      </c>
      <c r="AL182" s="22">
        <f t="shared" si="165"/>
        <v>1758.2218782661209</v>
      </c>
      <c r="AM182" s="62">
        <f t="shared" si="113"/>
        <v>2051.5552115994542</v>
      </c>
      <c r="AN182" s="62">
        <f ca="1">AVERAGE(OFFSET($AM$3,0,0,'Données projet'!$E$10+1,1))-AVERAGE(OFFSET($H$3,0,0,'Données projet'!$E$10+1,1))</f>
        <v>886.54265074144564</v>
      </c>
      <c r="AO182" s="62">
        <f t="shared" si="144"/>
        <v>254.8922423500004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3.979039320256561E-13</v>
      </c>
      <c r="BE182" s="14">
        <f>BD182*VLOOKUP('Données projet'!$B$11,Paramètres!$A$1:$I$89,3,0)*VLOOKUP('Données projet'!$B$11,Paramètres!$A$1:$I$89,5,0)</f>
        <v>4.5838532969355584E-13</v>
      </c>
      <c r="BF182" s="14">
        <f t="shared" si="167"/>
        <v>5.7678707532255958E-12</v>
      </c>
      <c r="BG182" s="22">
        <f t="shared" si="168"/>
        <v>1.0844062677750854E-11</v>
      </c>
      <c r="BH182" s="62">
        <f t="shared" si="116"/>
        <v>293.33333333334417</v>
      </c>
      <c r="BI182" s="62">
        <f ca="1">AVERAGE(OFFSET($BH$3,0,0,'Données projet'!$E$11+1,1))-AVERAGE(OFFSET($H$3,0,0,'Données projet'!$E$11+1,1))</f>
        <v>165.98015798223548</v>
      </c>
      <c r="BJ182" s="62">
        <f t="shared" si="146"/>
        <v>143.97979034100706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-9.6479197964072245E-13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335.16942824912076</v>
      </c>
      <c r="CE182" s="62">
        <f t="shared" si="148"/>
        <v>190.00559730122677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152.63300189110146</v>
      </c>
      <c r="T183" s="62">
        <f t="shared" si="142"/>
        <v>236.66430374499453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0.69197034161129456</v>
      </c>
      <c r="AA183" s="23">
        <f>EXP(-LN(2)/25)*AA182+(1-EXP(-LN(2)/25))/(LN(2)/25)*Calculateur!V183*Calculateur!X183*VLOOKUP('Données projet'!$B$9,Paramètres!$A$1:$I$89,3,0)*0.475*44/12</f>
        <v>0.15298806973168924</v>
      </c>
      <c r="AB183" s="23">
        <f>EXP(-LN(2)/2)*AB182+(1-EXP(-LN(2)/2))/(LN(2)/2)*V183*Y183*VLOOKUP('Données projet'!$B$9,Paramètres!$A$1:$I$89,3,0)*0.475*44/12</f>
        <v>7.7477396544038622E-23</v>
      </c>
      <c r="AC183" s="24">
        <f t="shared" si="163"/>
        <v>0.84495841134298377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4.9423249999999994</v>
      </c>
      <c r="AI183" s="14">
        <f>IF('Données projet'!$A$62&gt;35,AI182+AH183-AQ182,IF(A183&lt;'Données projet'!$A$62,$AF$205^A183,IF(A183='Données projet'!$A$62,'Données projet'!$B$62,AI182+AH183-AQ182)))</f>
        <v>768.55250000000046</v>
      </c>
      <c r="AJ183" s="14">
        <f>AI183*VLOOKUP('Données projet'!$B$10,Paramètres!$A$1:$I$89,3,0)*VLOOKUP('Données projet'!$B$10,Paramètres!$A$1:$I$89,5,0)</f>
        <v>839.25933000000043</v>
      </c>
      <c r="AK183" s="14">
        <f t="shared" si="164"/>
        <v>176.64718772405001</v>
      </c>
      <c r="AL183" s="22">
        <f t="shared" si="165"/>
        <v>1769.3705183693876</v>
      </c>
      <c r="AM183" s="62">
        <f t="shared" si="113"/>
        <v>2062.7038517027208</v>
      </c>
      <c r="AN183" s="62">
        <f ca="1">AVERAGE(OFFSET($AM$3,0,0,'Données projet'!$E$10+1,1))-AVERAGE(OFFSET($H$3,0,0,'Données projet'!$E$10+1,1))</f>
        <v>886.54265074144564</v>
      </c>
      <c r="AO183" s="62">
        <f t="shared" si="144"/>
        <v>254.8922423500004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3.979039320256561E-13</v>
      </c>
      <c r="BE183" s="14">
        <f>BD183*VLOOKUP('Données projet'!$B$11,Paramètres!$A$1:$I$89,3,0)*VLOOKUP('Données projet'!$B$11,Paramètres!$A$1:$I$89,5,0)</f>
        <v>4.5838532969355584E-13</v>
      </c>
      <c r="BF183" s="14">
        <f t="shared" si="167"/>
        <v>5.7678707532255958E-12</v>
      </c>
      <c r="BG183" s="22">
        <f t="shared" si="168"/>
        <v>1.0844062677750854E-11</v>
      </c>
      <c r="BH183" s="62">
        <f t="shared" si="116"/>
        <v>293.33333333334417</v>
      </c>
      <c r="BI183" s="62">
        <f ca="1">AVERAGE(OFFSET($BH$3,0,0,'Données projet'!$E$11+1,1))-AVERAGE(OFFSET($H$3,0,0,'Données projet'!$E$11+1,1))</f>
        <v>165.98015798223548</v>
      </c>
      <c r="BJ183" s="62">
        <f t="shared" si="146"/>
        <v>143.97979034100706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-9.6479197964072245E-13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335.16942824912076</v>
      </c>
      <c r="CE183" s="62">
        <f t="shared" si="148"/>
        <v>190.00559730122677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152.63300189110146</v>
      </c>
      <c r="T184" s="62">
        <f t="shared" si="142"/>
        <v>236.66430374499453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0.67840122527253044</v>
      </c>
      <c r="AA184" s="23">
        <f>EXP(-LN(2)/25)*AA183+(1-EXP(-LN(2)/25))/(LN(2)/25)*Calculateur!V184*Calculateur!X184*VLOOKUP('Données projet'!$B$9,Paramètres!$A$1:$I$89,3,0)*0.475*44/12</f>
        <v>0.14880460291958328</v>
      </c>
      <c r="AB184" s="23">
        <f>EXP(-LN(2)/2)*AB183+(1-EXP(-LN(2)/2))/(LN(2)/2)*V184*Y184*VLOOKUP('Données projet'!$B$9,Paramètres!$A$1:$I$89,3,0)*0.475*44/12</f>
        <v>5.478479248496889E-23</v>
      </c>
      <c r="AC184" s="24">
        <f t="shared" si="163"/>
        <v>0.82720582819211375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4.9423249999999994</v>
      </c>
      <c r="AI184" s="14">
        <f>IF('Données projet'!$A$62&gt;35,AI183+AH184-AQ183,IF(A184&lt;'Données projet'!$A$62,$AF$205^A184,IF(A184='Données projet'!$A$62,'Données projet'!$B$62,AI183+AH184-AQ183)))</f>
        <v>773.49482500000045</v>
      </c>
      <c r="AJ184" s="14">
        <f>AI184*VLOOKUP('Données projet'!$B$10,Paramètres!$A$1:$I$89,3,0)*VLOOKUP('Données projet'!$B$10,Paramètres!$A$1:$I$89,5,0)</f>
        <v>844.65634890000047</v>
      </c>
      <c r="AK184" s="14">
        <f t="shared" si="164"/>
        <v>177.65055056122037</v>
      </c>
      <c r="AL184" s="22">
        <f t="shared" si="165"/>
        <v>1780.5178498949597</v>
      </c>
      <c r="AM184" s="62">
        <f t="shared" si="113"/>
        <v>2073.8511832282929</v>
      </c>
      <c r="AN184" s="62">
        <f ca="1">AVERAGE(OFFSET($AM$3,0,0,'Données projet'!$E$10+1,1))-AVERAGE(OFFSET($H$3,0,0,'Données projet'!$E$10+1,1))</f>
        <v>886.54265074144564</v>
      </c>
      <c r="AO184" s="62">
        <f t="shared" si="144"/>
        <v>254.8922423500004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3.979039320256561E-13</v>
      </c>
      <c r="BE184" s="14">
        <f>BD184*VLOOKUP('Données projet'!$B$11,Paramètres!$A$1:$I$89,3,0)*VLOOKUP('Données projet'!$B$11,Paramètres!$A$1:$I$89,5,0)</f>
        <v>4.5838532969355584E-13</v>
      </c>
      <c r="BF184" s="14">
        <f t="shared" si="167"/>
        <v>5.7678707532255958E-12</v>
      </c>
      <c r="BG184" s="22">
        <f t="shared" si="168"/>
        <v>1.0844062677750854E-11</v>
      </c>
      <c r="BH184" s="62">
        <f t="shared" si="116"/>
        <v>293.33333333334417</v>
      </c>
      <c r="BI184" s="62">
        <f ca="1">AVERAGE(OFFSET($BH$3,0,0,'Données projet'!$E$11+1,1))-AVERAGE(OFFSET($H$3,0,0,'Données projet'!$E$11+1,1))</f>
        <v>165.98015798223548</v>
      </c>
      <c r="BJ184" s="62">
        <f t="shared" si="146"/>
        <v>143.97979034100706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-9.6479197964072245E-13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335.16942824912076</v>
      </c>
      <c r="CE184" s="62">
        <f t="shared" si="148"/>
        <v>190.00559730122677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152.63300189110146</v>
      </c>
      <c r="T185" s="62">
        <f t="shared" si="142"/>
        <v>236.66430374499453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0.66509819102882572</v>
      </c>
      <c r="AA185" s="23">
        <f>EXP(-LN(2)/25)*AA184+(1-EXP(-LN(2)/25))/(LN(2)/25)*Calculateur!V185*Calculateur!X185*VLOOKUP('Données projet'!$B$9,Paramètres!$A$1:$I$89,3,0)*0.475*44/12</f>
        <v>0.14473553322745331</v>
      </c>
      <c r="AB185" s="23">
        <f>EXP(-LN(2)/2)*AB184+(1-EXP(-LN(2)/2))/(LN(2)/2)*V185*Y185*VLOOKUP('Données projet'!$B$9,Paramètres!$A$1:$I$89,3,0)*0.475*44/12</f>
        <v>3.8738698272019311E-23</v>
      </c>
      <c r="AC185" s="24">
        <f t="shared" si="163"/>
        <v>0.80983372425627898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4.9423249999999994</v>
      </c>
      <c r="AI185" s="14">
        <f>IF('Données projet'!$A$62&gt;35,AI184+AH185-AQ184,IF(A185&lt;'Données projet'!$A$62,$AF$205^A185,IF(A185='Données projet'!$A$62,'Données projet'!$B$62,AI184+AH185-AQ184)))</f>
        <v>778.43715000000043</v>
      </c>
      <c r="AJ185" s="14">
        <f>AI185*VLOOKUP('Données projet'!$B$10,Paramètres!$A$1:$I$89,3,0)*VLOOKUP('Données projet'!$B$10,Paramètres!$A$1:$I$89,5,0)</f>
        <v>850.0533678000005</v>
      </c>
      <c r="AK185" s="14">
        <f t="shared" si="164"/>
        <v>178.65316741954382</v>
      </c>
      <c r="AL185" s="22">
        <f t="shared" si="165"/>
        <v>1791.6638821740396</v>
      </c>
      <c r="AM185" s="62">
        <f t="shared" si="113"/>
        <v>2084.9972155073729</v>
      </c>
      <c r="AN185" s="62">
        <f ca="1">AVERAGE(OFFSET($AM$3,0,0,'Données projet'!$E$10+1,1))-AVERAGE(OFFSET($H$3,0,0,'Données projet'!$E$10+1,1))</f>
        <v>886.54265074144564</v>
      </c>
      <c r="AO185" s="62">
        <f t="shared" si="144"/>
        <v>254.8922423500004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3.979039320256561E-13</v>
      </c>
      <c r="BE185" s="14">
        <f>BD185*VLOOKUP('Données projet'!$B$11,Paramètres!$A$1:$I$89,3,0)*VLOOKUP('Données projet'!$B$11,Paramètres!$A$1:$I$89,5,0)</f>
        <v>4.5838532969355584E-13</v>
      </c>
      <c r="BF185" s="14">
        <f t="shared" si="167"/>
        <v>5.7678707532255958E-12</v>
      </c>
      <c r="BG185" s="22">
        <f t="shared" si="168"/>
        <v>1.0844062677750854E-11</v>
      </c>
      <c r="BH185" s="62">
        <f t="shared" si="116"/>
        <v>293.33333333334417</v>
      </c>
      <c r="BI185" s="62">
        <f ca="1">AVERAGE(OFFSET($BH$3,0,0,'Données projet'!$E$11+1,1))-AVERAGE(OFFSET($H$3,0,0,'Données projet'!$E$11+1,1))</f>
        <v>165.98015798223548</v>
      </c>
      <c r="BJ185" s="62">
        <f t="shared" si="146"/>
        <v>143.97979034100706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-9.6479197964072245E-13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335.16942824912076</v>
      </c>
      <c r="CE185" s="62">
        <f t="shared" si="148"/>
        <v>190.00559730122677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152.63300189110146</v>
      </c>
      <c r="T186" s="62">
        <f t="shared" si="142"/>
        <v>236.66430374499453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0.65205602117259043</v>
      </c>
      <c r="AA186" s="23">
        <f>EXP(-LN(2)/25)*AA185+(1-EXP(-LN(2)/25))/(LN(2)/25)*Calculateur!V186*Calculateur!X186*VLOOKUP('Données projet'!$B$9,Paramètres!$A$1:$I$89,3,0)*0.475*44/12</f>
        <v>0.14077773246003769</v>
      </c>
      <c r="AB186" s="23">
        <f>EXP(-LN(2)/2)*AB185+(1-EXP(-LN(2)/2))/(LN(2)/2)*V186*Y186*VLOOKUP('Données projet'!$B$9,Paramètres!$A$1:$I$89,3,0)*0.475*44/12</f>
        <v>2.7392396242484445E-23</v>
      </c>
      <c r="AC186" s="24">
        <f t="shared" si="163"/>
        <v>0.79283375363262809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4.9423249999999994</v>
      </c>
      <c r="AI186" s="14">
        <f>IF('Données projet'!$A$62&gt;35,AI185+AH186-AQ185,IF(A186&lt;'Données projet'!$A$62,$AF$205^A186,IF(A186='Données projet'!$A$62,'Données projet'!$B$62,AI185+AH186-AQ185)))</f>
        <v>783.37947500000041</v>
      </c>
      <c r="AJ186" s="14">
        <f>AI186*VLOOKUP('Données projet'!$B$10,Paramètres!$A$1:$I$89,3,0)*VLOOKUP('Données projet'!$B$10,Paramètres!$A$1:$I$89,5,0)</f>
        <v>855.45038670000042</v>
      </c>
      <c r="AK186" s="14">
        <f t="shared" si="164"/>
        <v>179.65504358468351</v>
      </c>
      <c r="AL186" s="22">
        <f t="shared" si="165"/>
        <v>1802.8086244124913</v>
      </c>
      <c r="AM186" s="62">
        <f t="shared" si="113"/>
        <v>2096.1419577458246</v>
      </c>
      <c r="AN186" s="62">
        <f ca="1">AVERAGE(OFFSET($AM$3,0,0,'Données projet'!$E$10+1,1))-AVERAGE(OFFSET($H$3,0,0,'Données projet'!$E$10+1,1))</f>
        <v>886.54265074144564</v>
      </c>
      <c r="AO186" s="62">
        <f t="shared" si="144"/>
        <v>254.8922423500004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3.979039320256561E-13</v>
      </c>
      <c r="BE186" s="14">
        <f>BD186*VLOOKUP('Données projet'!$B$11,Paramètres!$A$1:$I$89,3,0)*VLOOKUP('Données projet'!$B$11,Paramètres!$A$1:$I$89,5,0)</f>
        <v>4.5838532969355584E-13</v>
      </c>
      <c r="BF186" s="14">
        <f t="shared" si="167"/>
        <v>5.7678707532255958E-12</v>
      </c>
      <c r="BG186" s="22">
        <f t="shared" si="168"/>
        <v>1.0844062677750854E-11</v>
      </c>
      <c r="BH186" s="62">
        <f t="shared" si="116"/>
        <v>293.33333333334417</v>
      </c>
      <c r="BI186" s="62">
        <f ca="1">AVERAGE(OFFSET($BH$3,0,0,'Données projet'!$E$11+1,1))-AVERAGE(OFFSET($H$3,0,0,'Données projet'!$E$11+1,1))</f>
        <v>165.98015798223548</v>
      </c>
      <c r="BJ186" s="62">
        <f t="shared" si="146"/>
        <v>143.97979034100706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-9.6479197964072245E-13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335.16942824912076</v>
      </c>
      <c r="CE186" s="62">
        <f t="shared" si="148"/>
        <v>190.00559730122677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152.63300189110146</v>
      </c>
      <c r="T187" s="62">
        <f t="shared" si="142"/>
        <v>236.66430374499453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0.63926960031229774</v>
      </c>
      <c r="AA187" s="23">
        <f>EXP(-LN(2)/25)*AA186+(1-EXP(-LN(2)/25))/(LN(2)/25)*Calculateur!V187*Calculateur!X187*VLOOKUP('Données projet'!$B$9,Paramètres!$A$1:$I$89,3,0)*0.475*44/12</f>
        <v>0.13692815796273877</v>
      </c>
      <c r="AB187" s="23">
        <f>EXP(-LN(2)/2)*AB186+(1-EXP(-LN(2)/2))/(LN(2)/2)*V187*Y187*VLOOKUP('Données projet'!$B$9,Paramètres!$A$1:$I$89,3,0)*0.475*44/12</f>
        <v>1.9369349136009655E-23</v>
      </c>
      <c r="AC187" s="24">
        <f t="shared" si="163"/>
        <v>0.77619775827503656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4.9423249999999994</v>
      </c>
      <c r="AI187" s="14">
        <f>IF('Données projet'!$A$62&gt;35,AI186+AH187-AQ186,IF(A187&lt;'Données projet'!$A$62,$AF$205^A187,IF(A187='Données projet'!$A$62,'Données projet'!$B$62,AI186+AH187-AQ186)))</f>
        <v>788.32180000000039</v>
      </c>
      <c r="AJ187" s="14">
        <f>AI187*VLOOKUP('Données projet'!$B$10,Paramètres!$A$1:$I$89,3,0)*VLOOKUP('Données projet'!$B$10,Paramètres!$A$1:$I$89,5,0)</f>
        <v>860.84740560000034</v>
      </c>
      <c r="AK187" s="14">
        <f t="shared" si="164"/>
        <v>180.65618427175065</v>
      </c>
      <c r="AL187" s="22">
        <f t="shared" si="165"/>
        <v>1813.9520856932995</v>
      </c>
      <c r="AM187" s="62">
        <f t="shared" si="113"/>
        <v>2107.285419026633</v>
      </c>
      <c r="AN187" s="62">
        <f ca="1">AVERAGE(OFFSET($AM$3,0,0,'Données projet'!$E$10+1,1))-AVERAGE(OFFSET($H$3,0,0,'Données projet'!$E$10+1,1))</f>
        <v>886.54265074144564</v>
      </c>
      <c r="AO187" s="62">
        <f t="shared" si="144"/>
        <v>254.8922423500004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3.979039320256561E-13</v>
      </c>
      <c r="BE187" s="14">
        <f>BD187*VLOOKUP('Données projet'!$B$11,Paramètres!$A$1:$I$89,3,0)*VLOOKUP('Données projet'!$B$11,Paramètres!$A$1:$I$89,5,0)</f>
        <v>4.5838532969355584E-13</v>
      </c>
      <c r="BF187" s="14">
        <f t="shared" si="167"/>
        <v>5.7678707532255958E-12</v>
      </c>
      <c r="BG187" s="22">
        <f t="shared" si="168"/>
        <v>1.0844062677750854E-11</v>
      </c>
      <c r="BH187" s="62">
        <f t="shared" si="116"/>
        <v>293.33333333334417</v>
      </c>
      <c r="BI187" s="62">
        <f ca="1">AVERAGE(OFFSET($BH$3,0,0,'Données projet'!$E$11+1,1))-AVERAGE(OFFSET($H$3,0,0,'Données projet'!$E$11+1,1))</f>
        <v>165.98015798223548</v>
      </c>
      <c r="BJ187" s="62">
        <f t="shared" si="146"/>
        <v>143.97979034100706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-9.6479197964072245E-13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335.16942824912076</v>
      </c>
      <c r="CE187" s="62">
        <f t="shared" si="148"/>
        <v>190.00559730122677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152.63300189110146</v>
      </c>
      <c r="T188" s="62">
        <f t="shared" si="142"/>
        <v>236.66430374499453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0.62673391336612871</v>
      </c>
      <c r="AA188" s="23">
        <f>EXP(-LN(2)/25)*AA187+(1-EXP(-LN(2)/25))/(LN(2)/25)*Calculateur!V188*Calculateur!X188*VLOOKUP('Données projet'!$B$9,Paramètres!$A$1:$I$89,3,0)*0.475*44/12</f>
        <v>0.13318385028250881</v>
      </c>
      <c r="AB188" s="23">
        <f>EXP(-LN(2)/2)*AB187+(1-EXP(-LN(2)/2))/(LN(2)/2)*V188*Y188*VLOOKUP('Données projet'!$B$9,Paramètres!$A$1:$I$89,3,0)*0.475*44/12</f>
        <v>1.3696198121242223E-23</v>
      </c>
      <c r="AC188" s="24">
        <f t="shared" si="163"/>
        <v>0.7599177636486375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4.9423249999999994</v>
      </c>
      <c r="AI188" s="14">
        <f>IF('Données projet'!$A$62&gt;35,AI187+AH188-AQ187,IF(A188&lt;'Données projet'!$A$62,$AF$205^A188,IF(A188='Données projet'!$A$62,'Données projet'!$B$62,AI187+AH188-AQ187)))</f>
        <v>793.26412500000038</v>
      </c>
      <c r="AJ188" s="14">
        <f>AI188*VLOOKUP('Données projet'!$B$10,Paramètres!$A$1:$I$89,3,0)*VLOOKUP('Données projet'!$B$10,Paramètres!$A$1:$I$89,5,0)</f>
        <v>866.24442450000038</v>
      </c>
      <c r="AK188" s="14">
        <f t="shared" si="164"/>
        <v>181.65659462668404</v>
      </c>
      <c r="AL188" s="22">
        <f t="shared" si="165"/>
        <v>1825.0942749789754</v>
      </c>
      <c r="AM188" s="62">
        <f t="shared" si="113"/>
        <v>2118.4276083123086</v>
      </c>
      <c r="AN188" s="62">
        <f ca="1">AVERAGE(OFFSET($AM$3,0,0,'Données projet'!$E$10+1,1))-AVERAGE(OFFSET($H$3,0,0,'Données projet'!$E$10+1,1))</f>
        <v>886.54265074144564</v>
      </c>
      <c r="AO188" s="62">
        <f t="shared" si="144"/>
        <v>254.8922423500004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3.979039320256561E-13</v>
      </c>
      <c r="BE188" s="14">
        <f>BD188*VLOOKUP('Données projet'!$B$11,Paramètres!$A$1:$I$89,3,0)*VLOOKUP('Données projet'!$B$11,Paramètres!$A$1:$I$89,5,0)</f>
        <v>4.5838532969355584E-13</v>
      </c>
      <c r="BF188" s="14">
        <f t="shared" si="167"/>
        <v>5.7678707532255958E-12</v>
      </c>
      <c r="BG188" s="22">
        <f t="shared" si="168"/>
        <v>1.0844062677750854E-11</v>
      </c>
      <c r="BH188" s="62">
        <f t="shared" si="116"/>
        <v>293.33333333334417</v>
      </c>
      <c r="BI188" s="62">
        <f ca="1">AVERAGE(OFFSET($BH$3,0,0,'Données projet'!$E$11+1,1))-AVERAGE(OFFSET($H$3,0,0,'Données projet'!$E$11+1,1))</f>
        <v>165.98015798223548</v>
      </c>
      <c r="BJ188" s="62">
        <f t="shared" si="146"/>
        <v>143.97979034100706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-9.6479197964072245E-13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335.16942824912076</v>
      </c>
      <c r="CE188" s="62">
        <f t="shared" si="148"/>
        <v>190.00559730122677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152.63300189110146</v>
      </c>
      <c r="T189" s="62">
        <f t="shared" si="142"/>
        <v>236.66430374499453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0.61444404359496008</v>
      </c>
      <c r="AA189" s="23">
        <f>EXP(-LN(2)/25)*AA188+(1-EXP(-LN(2)/25))/(LN(2)/25)*Calculateur!V189*Calculateur!X189*VLOOKUP('Données projet'!$B$9,Paramètres!$A$1:$I$89,3,0)*0.475*44/12</f>
        <v>0.12954193089269933</v>
      </c>
      <c r="AB189" s="23">
        <f>EXP(-LN(2)/2)*AB188+(1-EXP(-LN(2)/2))/(LN(2)/2)*V189*Y189*VLOOKUP('Données projet'!$B$9,Paramètres!$A$1:$I$89,3,0)*0.475*44/12</f>
        <v>9.6846745680048277E-24</v>
      </c>
      <c r="AC189" s="24">
        <f t="shared" si="163"/>
        <v>0.74398597448765935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4.9423249999999994</v>
      </c>
      <c r="AI189" s="14">
        <f>IF('Données projet'!$A$62&gt;35,AI188+AH189-AQ188,IF(A189&lt;'Données projet'!$A$62,$AF$205^A189,IF(A189='Données projet'!$A$62,'Données projet'!$B$62,AI188+AH189-AQ188)))</f>
        <v>798.20645000000036</v>
      </c>
      <c r="AJ189" s="14">
        <f>AI189*VLOOKUP('Données projet'!$B$10,Paramètres!$A$1:$I$89,3,0)*VLOOKUP('Données projet'!$B$10,Paramètres!$A$1:$I$89,5,0)</f>
        <v>871.6414434000003</v>
      </c>
      <c r="AK189" s="14">
        <f t="shared" si="164"/>
        <v>182.65627972759074</v>
      </c>
      <c r="AL189" s="22">
        <f t="shared" si="165"/>
        <v>1836.2352011138876</v>
      </c>
      <c r="AM189" s="62">
        <f t="shared" si="113"/>
        <v>2129.5685344472208</v>
      </c>
      <c r="AN189" s="62">
        <f ca="1">AVERAGE(OFFSET($AM$3,0,0,'Données projet'!$E$10+1,1))-AVERAGE(OFFSET($H$3,0,0,'Données projet'!$E$10+1,1))</f>
        <v>886.54265074144564</v>
      </c>
      <c r="AO189" s="62">
        <f t="shared" si="144"/>
        <v>254.8922423500004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3.979039320256561E-13</v>
      </c>
      <c r="BE189" s="14">
        <f>BD189*VLOOKUP('Données projet'!$B$11,Paramètres!$A$1:$I$89,3,0)*VLOOKUP('Données projet'!$B$11,Paramètres!$A$1:$I$89,5,0)</f>
        <v>4.5838532969355584E-13</v>
      </c>
      <c r="BF189" s="14">
        <f t="shared" si="167"/>
        <v>5.7678707532255958E-12</v>
      </c>
      <c r="BG189" s="22">
        <f t="shared" si="168"/>
        <v>1.0844062677750854E-11</v>
      </c>
      <c r="BH189" s="62">
        <f t="shared" si="116"/>
        <v>293.33333333334417</v>
      </c>
      <c r="BI189" s="62">
        <f ca="1">AVERAGE(OFFSET($BH$3,0,0,'Données projet'!$E$11+1,1))-AVERAGE(OFFSET($H$3,0,0,'Données projet'!$E$11+1,1))</f>
        <v>165.98015798223548</v>
      </c>
      <c r="BJ189" s="62">
        <f t="shared" si="146"/>
        <v>143.97979034100706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-9.6479197964072245E-13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335.16942824912076</v>
      </c>
      <c r="CE189" s="62">
        <f t="shared" si="148"/>
        <v>190.00559730122677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152.63300189110146</v>
      </c>
      <c r="T190" s="62">
        <f t="shared" si="142"/>
        <v>236.66430374499453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0.60239517067392367</v>
      </c>
      <c r="AA190" s="23">
        <f>EXP(-LN(2)/25)*AA189+(1-EXP(-LN(2)/25))/(LN(2)/25)*Calculateur!V190*Calculateur!X190*VLOOKUP('Données projet'!$B$9,Paramètres!$A$1:$I$89,3,0)*0.475*44/12</f>
        <v>0.12599959998012439</v>
      </c>
      <c r="AB190" s="23">
        <f>EXP(-LN(2)/2)*AB189+(1-EXP(-LN(2)/2))/(LN(2)/2)*V190*Y190*VLOOKUP('Données projet'!$B$9,Paramètres!$A$1:$I$89,3,0)*0.475*44/12</f>
        <v>6.8480990606211113E-24</v>
      </c>
      <c r="AC190" s="24">
        <f t="shared" si="163"/>
        <v>0.72839477065404812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4.9423249999999994</v>
      </c>
      <c r="AI190" s="14">
        <f>IF('Données projet'!$A$62&gt;35,AI189+AH190-AQ189,IF(A190&lt;'Données projet'!$A$62,$AF$205^A190,IF(A190='Données projet'!$A$62,'Données projet'!$B$62,AI189+AH190-AQ189)))</f>
        <v>803.14877500000034</v>
      </c>
      <c r="AJ190" s="14">
        <f>AI190*VLOOKUP('Données projet'!$B$10,Paramètres!$A$1:$I$89,3,0)*VLOOKUP('Données projet'!$B$10,Paramètres!$A$1:$I$89,5,0)</f>
        <v>877.03846230000033</v>
      </c>
      <c r="AK190" s="14">
        <f t="shared" si="164"/>
        <v>183.65524458605623</v>
      </c>
      <c r="AL190" s="22">
        <f t="shared" si="165"/>
        <v>1847.3748728265484</v>
      </c>
      <c r="AM190" s="62">
        <f t="shared" si="113"/>
        <v>2140.7082061598817</v>
      </c>
      <c r="AN190" s="62">
        <f ca="1">AVERAGE(OFFSET($AM$3,0,0,'Données projet'!$E$10+1,1))-AVERAGE(OFFSET($H$3,0,0,'Données projet'!$E$10+1,1))</f>
        <v>886.54265074144564</v>
      </c>
      <c r="AO190" s="62">
        <f t="shared" si="144"/>
        <v>254.8922423500004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3.979039320256561E-13</v>
      </c>
      <c r="BE190" s="14">
        <f>BD190*VLOOKUP('Données projet'!$B$11,Paramètres!$A$1:$I$89,3,0)*VLOOKUP('Données projet'!$B$11,Paramètres!$A$1:$I$89,5,0)</f>
        <v>4.5838532969355584E-13</v>
      </c>
      <c r="BF190" s="14">
        <f t="shared" si="167"/>
        <v>5.7678707532255958E-12</v>
      </c>
      <c r="BG190" s="22">
        <f t="shared" si="168"/>
        <v>1.0844062677750854E-11</v>
      </c>
      <c r="BH190" s="62">
        <f t="shared" si="116"/>
        <v>293.33333333334417</v>
      </c>
      <c r="BI190" s="62">
        <f ca="1">AVERAGE(OFFSET($BH$3,0,0,'Données projet'!$E$11+1,1))-AVERAGE(OFFSET($H$3,0,0,'Données projet'!$E$11+1,1))</f>
        <v>165.98015798223548</v>
      </c>
      <c r="BJ190" s="62">
        <f t="shared" si="146"/>
        <v>143.97979034100706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-9.6479197964072245E-13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335.16942824912076</v>
      </c>
      <c r="CE190" s="62">
        <f t="shared" si="148"/>
        <v>190.00559730122677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152.63300189110146</v>
      </c>
      <c r="T191" s="62">
        <f t="shared" si="142"/>
        <v>236.66430374499453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0.59058256880178195</v>
      </c>
      <c r="AA191" s="23">
        <f>EXP(-LN(2)/25)*AA190+(1-EXP(-LN(2)/25))/(LN(2)/25)*Calculateur!V191*Calculateur!X191*VLOOKUP('Données projet'!$B$9,Paramètres!$A$1:$I$89,3,0)*0.475*44/12</f>
        <v>0.1225541342926369</v>
      </c>
      <c r="AB191" s="23">
        <f>EXP(-LN(2)/2)*AB190+(1-EXP(-LN(2)/2))/(LN(2)/2)*V191*Y191*VLOOKUP('Données projet'!$B$9,Paramètres!$A$1:$I$89,3,0)*0.475*44/12</f>
        <v>4.8423372840024139E-24</v>
      </c>
      <c r="AC191" s="24">
        <f t="shared" si="163"/>
        <v>0.7131367030944189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4.9423249999999994</v>
      </c>
      <c r="AI191" s="14">
        <f>IF('Données projet'!$A$62&gt;35,AI190+AH191-AQ190,IF(A191&lt;'Données projet'!$A$62,$AF$205^A191,IF(A191='Données projet'!$A$62,'Données projet'!$B$62,AI190+AH191-AQ190)))</f>
        <v>808.09110000000032</v>
      </c>
      <c r="AJ191" s="14">
        <f>AI191*VLOOKUP('Données projet'!$B$10,Paramètres!$A$1:$I$89,3,0)*VLOOKUP('Données projet'!$B$10,Paramètres!$A$1:$I$89,5,0)</f>
        <v>882.43548120000037</v>
      </c>
      <c r="AK191" s="14">
        <f t="shared" si="164"/>
        <v>184.65349414841839</v>
      </c>
      <c r="AL191" s="22">
        <f t="shared" si="165"/>
        <v>1858.5132987318291</v>
      </c>
      <c r="AM191" s="62">
        <f t="shared" si="113"/>
        <v>2151.8466320651623</v>
      </c>
      <c r="AN191" s="62">
        <f ca="1">AVERAGE(OFFSET($AM$3,0,0,'Données projet'!$E$10+1,1))-AVERAGE(OFFSET($H$3,0,0,'Données projet'!$E$10+1,1))</f>
        <v>886.54265074144564</v>
      </c>
      <c r="AO191" s="62">
        <f t="shared" si="144"/>
        <v>254.8922423500004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3.979039320256561E-13</v>
      </c>
      <c r="BE191" s="14">
        <f>BD191*VLOOKUP('Données projet'!$B$11,Paramètres!$A$1:$I$89,3,0)*VLOOKUP('Données projet'!$B$11,Paramètres!$A$1:$I$89,5,0)</f>
        <v>4.5838532969355584E-13</v>
      </c>
      <c r="BF191" s="14">
        <f t="shared" si="167"/>
        <v>5.7678707532255958E-12</v>
      </c>
      <c r="BG191" s="22">
        <f t="shared" si="168"/>
        <v>1.0844062677750854E-11</v>
      </c>
      <c r="BH191" s="62">
        <f t="shared" si="116"/>
        <v>293.33333333334417</v>
      </c>
      <c r="BI191" s="62">
        <f ca="1">AVERAGE(OFFSET($BH$3,0,0,'Données projet'!$E$11+1,1))-AVERAGE(OFFSET($H$3,0,0,'Données projet'!$E$11+1,1))</f>
        <v>165.98015798223548</v>
      </c>
      <c r="BJ191" s="62">
        <f t="shared" si="146"/>
        <v>143.97979034100706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-9.6479197964072245E-13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335.16942824912076</v>
      </c>
      <c r="CE191" s="62">
        <f t="shared" si="148"/>
        <v>190.00559730122677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152.63300189110146</v>
      </c>
      <c r="T192" s="62">
        <f t="shared" si="142"/>
        <v>236.66430374499453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0.57900160484737717</v>
      </c>
      <c r="AA192" s="23">
        <f>EXP(-LN(2)/25)*AA191+(1-EXP(-LN(2)/25))/(LN(2)/25)*Calculateur!V192*Calculateur!X192*VLOOKUP('Données projet'!$B$9,Paramètres!$A$1:$I$89,3,0)*0.475*44/12</f>
        <v>0.11920288504556292</v>
      </c>
      <c r="AB192" s="23">
        <f>EXP(-LN(2)/2)*AB191+(1-EXP(-LN(2)/2))/(LN(2)/2)*V192*Y192*VLOOKUP('Données projet'!$B$9,Paramètres!$A$1:$I$89,3,0)*0.475*44/12</f>
        <v>3.4240495303105556E-24</v>
      </c>
      <c r="AC192" s="24">
        <f t="shared" si="163"/>
        <v>0.69820448989294004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4.9423249999999994</v>
      </c>
      <c r="AI192" s="14">
        <f>IF('Données projet'!$A$62&gt;35,AI191+AH192-AQ191,IF(A192&lt;'Données projet'!$A$62,$AF$205^A192,IF(A192='Données projet'!$A$62,'Données projet'!$B$62,AI191+AH192-AQ191)))</f>
        <v>813.03342500000031</v>
      </c>
      <c r="AJ192" s="14">
        <f>AI192*VLOOKUP('Données projet'!$B$10,Paramètres!$A$1:$I$89,3,0)*VLOOKUP('Données projet'!$B$10,Paramètres!$A$1:$I$89,5,0)</f>
        <v>887.83250010000017</v>
      </c>
      <c r="AK192" s="14">
        <f t="shared" si="164"/>
        <v>185.65103329701179</v>
      </c>
      <c r="AL192" s="22">
        <f t="shared" si="165"/>
        <v>1869.6504873331289</v>
      </c>
      <c r="AM192" s="62">
        <f t="shared" si="113"/>
        <v>2162.9838206664622</v>
      </c>
      <c r="AN192" s="62">
        <f ca="1">AVERAGE(OFFSET($AM$3,0,0,'Données projet'!$E$10+1,1))-AVERAGE(OFFSET($H$3,0,0,'Données projet'!$E$10+1,1))</f>
        <v>886.54265074144564</v>
      </c>
      <c r="AO192" s="62">
        <f t="shared" si="144"/>
        <v>254.8922423500004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3.979039320256561E-13</v>
      </c>
      <c r="BE192" s="14">
        <f>BD192*VLOOKUP('Données projet'!$B$11,Paramètres!$A$1:$I$89,3,0)*VLOOKUP('Données projet'!$B$11,Paramètres!$A$1:$I$89,5,0)</f>
        <v>4.5838532969355584E-13</v>
      </c>
      <c r="BF192" s="14">
        <f t="shared" si="167"/>
        <v>5.7678707532255958E-12</v>
      </c>
      <c r="BG192" s="22">
        <f t="shared" si="168"/>
        <v>1.0844062677750854E-11</v>
      </c>
      <c r="BH192" s="62">
        <f t="shared" si="116"/>
        <v>293.33333333334417</v>
      </c>
      <c r="BI192" s="62">
        <f ca="1">AVERAGE(OFFSET($BH$3,0,0,'Données projet'!$E$11+1,1))-AVERAGE(OFFSET($H$3,0,0,'Données projet'!$E$11+1,1))</f>
        <v>165.98015798223548</v>
      </c>
      <c r="BJ192" s="62">
        <f t="shared" si="146"/>
        <v>143.97979034100706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-9.6479197964072245E-13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335.16942824912076</v>
      </c>
      <c r="CE192" s="62">
        <f t="shared" si="148"/>
        <v>190.00559730122677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152.63300189110146</v>
      </c>
      <c r="T193" s="62">
        <f t="shared" si="142"/>
        <v>236.66430374499453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0.56764773653242784</v>
      </c>
      <c r="AA193" s="23">
        <f>EXP(-LN(2)/25)*AA192+(1-EXP(-LN(2)/25))/(LN(2)/25)*Calculateur!V193*Calculateur!X193*VLOOKUP('Données projet'!$B$9,Paramètres!$A$1:$I$89,3,0)*0.475*44/12</f>
        <v>0.11594327588538472</v>
      </c>
      <c r="AB193" s="23">
        <f>EXP(-LN(2)/2)*AB192+(1-EXP(-LN(2)/2))/(LN(2)/2)*V193*Y193*VLOOKUP('Données projet'!$B$9,Paramètres!$A$1:$I$89,3,0)*0.475*44/12</f>
        <v>2.4211686420012069E-24</v>
      </c>
      <c r="AC193" s="24">
        <f t="shared" si="163"/>
        <v>0.68359101241781262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4.9423249999999994</v>
      </c>
      <c r="AI193" s="14">
        <f>IF('Données projet'!$A$62&gt;35,AI192+AH193-AQ192,IF(A193&lt;'Données projet'!$A$62,$AF$205^A193,IF(A193='Données projet'!$A$62,'Données projet'!$B$62,AI192+AH193-AQ192)))</f>
        <v>817.97575000000029</v>
      </c>
      <c r="AJ193" s="14">
        <f>AI193*VLOOKUP('Données projet'!$B$10,Paramètres!$A$1:$I$89,3,0)*VLOOKUP('Données projet'!$B$10,Paramètres!$A$1:$I$89,5,0)</f>
        <v>893.22951900000021</v>
      </c>
      <c r="AK193" s="14">
        <f t="shared" si="164"/>
        <v>186.64786685137884</v>
      </c>
      <c r="AL193" s="22">
        <f t="shared" si="165"/>
        <v>1880.7864470244849</v>
      </c>
      <c r="AM193" s="62">
        <f t="shared" si="113"/>
        <v>2174.1197803578184</v>
      </c>
      <c r="AN193" s="62">
        <f ca="1">AVERAGE(OFFSET($AM$3,0,0,'Données projet'!$E$10+1,1))-AVERAGE(OFFSET($H$3,0,0,'Données projet'!$E$10+1,1))</f>
        <v>886.54265074144564</v>
      </c>
      <c r="AO193" s="62">
        <f t="shared" si="144"/>
        <v>254.8922423500004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3.979039320256561E-13</v>
      </c>
      <c r="BE193" s="14">
        <f>BD193*VLOOKUP('Données projet'!$B$11,Paramètres!$A$1:$I$89,3,0)*VLOOKUP('Données projet'!$B$11,Paramètres!$A$1:$I$89,5,0)</f>
        <v>4.5838532969355584E-13</v>
      </c>
      <c r="BF193" s="14">
        <f t="shared" si="167"/>
        <v>5.7678707532255958E-12</v>
      </c>
      <c r="BG193" s="22">
        <f t="shared" si="168"/>
        <v>1.0844062677750854E-11</v>
      </c>
      <c r="BH193" s="62">
        <f t="shared" si="116"/>
        <v>293.33333333334417</v>
      </c>
      <c r="BI193" s="62">
        <f ca="1">AVERAGE(OFFSET($BH$3,0,0,'Données projet'!$E$11+1,1))-AVERAGE(OFFSET($H$3,0,0,'Données projet'!$E$11+1,1))</f>
        <v>165.98015798223548</v>
      </c>
      <c r="BJ193" s="62">
        <f t="shared" si="146"/>
        <v>143.97979034100706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-9.6479197964072245E-13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335.16942824912076</v>
      </c>
      <c r="CE193" s="62">
        <f t="shared" si="148"/>
        <v>190.00559730122677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152.63300189110146</v>
      </c>
      <c r="T194" s="62">
        <f t="shared" si="142"/>
        <v>236.66430374499453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0.55651651064995877</v>
      </c>
      <c r="AA194" s="23">
        <f>EXP(-LN(2)/25)*AA193+(1-EXP(-LN(2)/25))/(LN(2)/25)*Calculateur!V194*Calculateur!X194*VLOOKUP('Données projet'!$B$9,Paramètres!$A$1:$I$89,3,0)*0.475*44/12</f>
        <v>0.11277280090910699</v>
      </c>
      <c r="AB194" s="23">
        <f>EXP(-LN(2)/2)*AB193+(1-EXP(-LN(2)/2))/(LN(2)/2)*V194*Y194*VLOOKUP('Données projet'!$B$9,Paramètres!$A$1:$I$89,3,0)*0.475*44/12</f>
        <v>1.7120247651552778E-24</v>
      </c>
      <c r="AC194" s="24">
        <f t="shared" si="163"/>
        <v>0.66928931155906579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4.9423249999999994</v>
      </c>
      <c r="AI194" s="14">
        <f>IF('Données projet'!$A$62&gt;35,AI193+AH194-AQ193,IF(A194&lt;'Données projet'!$A$62,$AF$205^A194,IF(A194='Données projet'!$A$62,'Données projet'!$B$62,AI193+AH194-AQ193)))</f>
        <v>822.91807500000027</v>
      </c>
      <c r="AJ194" s="14">
        <f>AI194*VLOOKUP('Données projet'!$B$10,Paramètres!$A$1:$I$89,3,0)*VLOOKUP('Données projet'!$B$10,Paramètres!$A$1:$I$89,5,0)</f>
        <v>898.62653790000024</v>
      </c>
      <c r="AK194" s="14">
        <f t="shared" si="164"/>
        <v>187.64399956945232</v>
      </c>
      <c r="AL194" s="22">
        <f t="shared" si="165"/>
        <v>1891.9211860926298</v>
      </c>
      <c r="AM194" s="62">
        <f t="shared" si="113"/>
        <v>2185.2545194259633</v>
      </c>
      <c r="AN194" s="62">
        <f ca="1">AVERAGE(OFFSET($AM$3,0,0,'Données projet'!$E$10+1,1))-AVERAGE(OFFSET($H$3,0,0,'Données projet'!$E$10+1,1))</f>
        <v>886.54265074144564</v>
      </c>
      <c r="AO194" s="62">
        <f t="shared" si="144"/>
        <v>254.8922423500004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3.979039320256561E-13</v>
      </c>
      <c r="BE194" s="14">
        <f>BD194*VLOOKUP('Données projet'!$B$11,Paramètres!$A$1:$I$89,3,0)*VLOOKUP('Données projet'!$B$11,Paramètres!$A$1:$I$89,5,0)</f>
        <v>4.5838532969355584E-13</v>
      </c>
      <c r="BF194" s="14">
        <f t="shared" si="167"/>
        <v>5.7678707532255958E-12</v>
      </c>
      <c r="BG194" s="22">
        <f t="shared" si="168"/>
        <v>1.0844062677750854E-11</v>
      </c>
      <c r="BH194" s="62">
        <f t="shared" si="116"/>
        <v>293.33333333334417</v>
      </c>
      <c r="BI194" s="62">
        <f ca="1">AVERAGE(OFFSET($BH$3,0,0,'Données projet'!$E$11+1,1))-AVERAGE(OFFSET($H$3,0,0,'Données projet'!$E$11+1,1))</f>
        <v>165.98015798223548</v>
      </c>
      <c r="BJ194" s="62">
        <f t="shared" si="146"/>
        <v>143.97979034100706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-9.6479197964072245E-13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335.16942824912076</v>
      </c>
      <c r="CE194" s="62">
        <f t="shared" si="148"/>
        <v>190.00559730122677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152.63300189110146</v>
      </c>
      <c r="T195" s="62">
        <f t="shared" si="142"/>
        <v>236.66430374499453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0.54560356131766752</v>
      </c>
      <c r="AA195" s="23">
        <f>EXP(-LN(2)/25)*AA194+(1-EXP(-LN(2)/25))/(LN(2)/25)*Calculateur!V195*Calculateur!X195*VLOOKUP('Données projet'!$B$9,Paramètres!$A$1:$I$89,3,0)*0.475*44/12</f>
        <v>0.10968902273778361</v>
      </c>
      <c r="AB195" s="23">
        <f>EXP(-LN(2)/2)*AB194+(1-EXP(-LN(2)/2))/(LN(2)/2)*V195*Y195*VLOOKUP('Données projet'!$B$9,Paramètres!$A$1:$I$89,3,0)*0.475*44/12</f>
        <v>1.2105843210006035E-24</v>
      </c>
      <c r="AC195" s="24">
        <f t="shared" si="163"/>
        <v>0.6552925840554511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4.9423249999999994</v>
      </c>
      <c r="AI195" s="14">
        <f>IF('Données projet'!$A$62&gt;35,AI194+AH195-AQ194,IF(A195&lt;'Données projet'!$A$62,$AF$205^A195,IF(A195='Données projet'!$A$62,'Données projet'!$B$62,AI194+AH195-AQ194)))</f>
        <v>827.86040000000025</v>
      </c>
      <c r="AJ195" s="14">
        <f>AI195*VLOOKUP('Données projet'!$B$10,Paramètres!$A$1:$I$89,3,0)*VLOOKUP('Données projet'!$B$10,Paramètres!$A$1:$I$89,5,0)</f>
        <v>904.02355680000028</v>
      </c>
      <c r="AK195" s="14">
        <f t="shared" si="164"/>
        <v>188.63943614870817</v>
      </c>
      <c r="AL195" s="22">
        <f t="shared" si="165"/>
        <v>1903.0547127190009</v>
      </c>
      <c r="AM195" s="62">
        <f t="shared" si="113"/>
        <v>2196.3880460523342</v>
      </c>
      <c r="AN195" s="62">
        <f ca="1">AVERAGE(OFFSET($AM$3,0,0,'Données projet'!$E$10+1,1))-AVERAGE(OFFSET($H$3,0,0,'Données projet'!$E$10+1,1))</f>
        <v>886.54265074144564</v>
      </c>
      <c r="AO195" s="62">
        <f t="shared" si="144"/>
        <v>254.8922423500004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3.979039320256561E-13</v>
      </c>
      <c r="BE195" s="14">
        <f>BD195*VLOOKUP('Données projet'!$B$11,Paramètres!$A$1:$I$89,3,0)*VLOOKUP('Données projet'!$B$11,Paramètres!$A$1:$I$89,5,0)</f>
        <v>4.5838532969355584E-13</v>
      </c>
      <c r="BF195" s="14">
        <f t="shared" si="167"/>
        <v>5.7678707532255958E-12</v>
      </c>
      <c r="BG195" s="22">
        <f t="shared" si="168"/>
        <v>1.0844062677750854E-11</v>
      </c>
      <c r="BH195" s="62">
        <f t="shared" si="116"/>
        <v>293.33333333334417</v>
      </c>
      <c r="BI195" s="62">
        <f ca="1">AVERAGE(OFFSET($BH$3,0,0,'Données projet'!$E$11+1,1))-AVERAGE(OFFSET($H$3,0,0,'Données projet'!$E$11+1,1))</f>
        <v>165.98015798223548</v>
      </c>
      <c r="BJ195" s="62">
        <f t="shared" si="146"/>
        <v>143.97979034100706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-9.6479197964072245E-13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335.16942824912076</v>
      </c>
      <c r="CE195" s="62">
        <f t="shared" si="148"/>
        <v>190.00559730122677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152.63300189110146</v>
      </c>
      <c r="T196" s="62">
        <f t="shared" si="142"/>
        <v>236.66430374499453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0.53490460826554065</v>
      </c>
      <c r="AA196" s="23">
        <f>EXP(-LN(2)/25)*AA195+(1-EXP(-LN(2)/25))/(LN(2)/25)*Calculateur!V196*Calculateur!X196*VLOOKUP('Données projet'!$B$9,Paramètres!$A$1:$I$89,3,0)*0.475*44/12</f>
        <v>0.10668957064272391</v>
      </c>
      <c r="AB196" s="23">
        <f>EXP(-LN(2)/2)*AB195+(1-EXP(-LN(2)/2))/(LN(2)/2)*V196*Y196*VLOOKUP('Données projet'!$B$9,Paramètres!$A$1:$I$89,3,0)*0.475*44/12</f>
        <v>8.5601238257763891E-25</v>
      </c>
      <c r="AC196" s="24">
        <f t="shared" si="163"/>
        <v>0.64159417890826453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4.9423249999999994</v>
      </c>
      <c r="AI196" s="14">
        <f>IF('Données projet'!$A$62&gt;35,AI195+AH196-AQ195,IF(A196&lt;'Données projet'!$A$62,$AF$205^A196,IF(A196='Données projet'!$A$62,'Données projet'!$B$62,AI195+AH196-AQ195)))</f>
        <v>832.80272500000024</v>
      </c>
      <c r="AJ196" s="14">
        <f>AI196*VLOOKUP('Données projet'!$B$10,Paramètres!$A$1:$I$89,3,0)*VLOOKUP('Données projet'!$B$10,Paramètres!$A$1:$I$89,5,0)</f>
        <v>909.42057570000031</v>
      </c>
      <c r="AK196" s="14">
        <f t="shared" si="164"/>
        <v>189.63418122728979</v>
      </c>
      <c r="AL196" s="22">
        <f t="shared" si="165"/>
        <v>1914.187034981697</v>
      </c>
      <c r="AM196" s="62">
        <f t="shared" ref="AM196:AM203" si="193">AL196+(AD196+AE196)*44/12</f>
        <v>2207.5203683150303</v>
      </c>
      <c r="AN196" s="62">
        <f ca="1">AVERAGE(OFFSET($AM$3,0,0,'Données projet'!$E$10+1,1))-AVERAGE(OFFSET($H$3,0,0,'Données projet'!$E$10+1,1))</f>
        <v>886.54265074144564</v>
      </c>
      <c r="AO196" s="62">
        <f t="shared" si="144"/>
        <v>254.8922423500004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3.979039320256561E-13</v>
      </c>
      <c r="BE196" s="14">
        <f>BD196*VLOOKUP('Données projet'!$B$11,Paramètres!$A$1:$I$89,3,0)*VLOOKUP('Données projet'!$B$11,Paramètres!$A$1:$I$89,5,0)</f>
        <v>4.5838532969355584E-13</v>
      </c>
      <c r="BF196" s="14">
        <f t="shared" si="167"/>
        <v>5.7678707532255958E-12</v>
      </c>
      <c r="BG196" s="22">
        <f t="shared" si="168"/>
        <v>1.0844062677750854E-11</v>
      </c>
      <c r="BH196" s="62">
        <f t="shared" ref="BH196:BH203" si="194">BG196+(AY196+AZ196)*44/12</f>
        <v>293.33333333334417</v>
      </c>
      <c r="BI196" s="62">
        <f ca="1">AVERAGE(OFFSET($BH$3,0,0,'Données projet'!$E$11+1,1))-AVERAGE(OFFSET($H$3,0,0,'Données projet'!$E$11+1,1))</f>
        <v>165.98015798223548</v>
      </c>
      <c r="BJ196" s="62">
        <f t="shared" si="146"/>
        <v>143.97979034100706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-9.6479197964072245E-13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335.16942824912076</v>
      </c>
      <c r="CE196" s="62">
        <f t="shared" si="148"/>
        <v>190.00559730122677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152.63300189110146</v>
      </c>
      <c r="T197" s="62">
        <f t="shared" ref="T197:T203" si="204">$T$3</f>
        <v>236.66430374499453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0.52441545515704902</v>
      </c>
      <c r="AA197" s="23">
        <f>EXP(-LN(2)/25)*AA196+(1-EXP(-LN(2)/25))/(LN(2)/25)*Calculateur!V197*Calculateur!X197*VLOOKUP('Données projet'!$B$9,Paramètres!$A$1:$I$89,3,0)*0.475*44/12</f>
        <v>0.10377213872293795</v>
      </c>
      <c r="AB197" s="23">
        <f>EXP(-LN(2)/2)*AB196+(1-EXP(-LN(2)/2))/(LN(2)/2)*V197*Y197*VLOOKUP('Données projet'!$B$9,Paramètres!$A$1:$I$89,3,0)*0.475*44/12</f>
        <v>6.0529216050030173E-25</v>
      </c>
      <c r="AC197" s="24">
        <f t="shared" si="163"/>
        <v>0.62818759387998702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4.9423249999999994</v>
      </c>
      <c r="AI197" s="14">
        <f>IF('Données projet'!$A$62&gt;35,AI196+AH197-AQ196,IF(A197&lt;'Données projet'!$A$62,$AF$205^A197,IF(A197='Données projet'!$A$62,'Données projet'!$B$62,AI196+AH197-AQ196)))</f>
        <v>837.74505000000022</v>
      </c>
      <c r="AJ197" s="14">
        <f>AI197*VLOOKUP('Données projet'!$B$10,Paramètres!$A$1:$I$89,3,0)*VLOOKUP('Données projet'!$B$10,Paramètres!$A$1:$I$89,5,0)</f>
        <v>914.81759460000012</v>
      </c>
      <c r="AK197" s="14">
        <f t="shared" si="164"/>
        <v>190.62823938510422</v>
      </c>
      <c r="AL197" s="22">
        <f t="shared" si="165"/>
        <v>1925.3181608573902</v>
      </c>
      <c r="AM197" s="62">
        <f t="shared" si="193"/>
        <v>2218.6514941907235</v>
      </c>
      <c r="AN197" s="62">
        <f ca="1">AVERAGE(OFFSET($AM$3,0,0,'Données projet'!$E$10+1,1))-AVERAGE(OFFSET($H$3,0,0,'Données projet'!$E$10+1,1))</f>
        <v>886.54265074144564</v>
      </c>
      <c r="AO197" s="62">
        <f t="shared" ref="AO197:AO203" si="205">$AO$3</f>
        <v>254.8922423500004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3.979039320256561E-13</v>
      </c>
      <c r="BE197" s="14">
        <f>BD197*VLOOKUP('Données projet'!$B$11,Paramètres!$A$1:$I$89,3,0)*VLOOKUP('Données projet'!$B$11,Paramètres!$A$1:$I$89,5,0)</f>
        <v>4.5838532969355584E-13</v>
      </c>
      <c r="BF197" s="14">
        <f t="shared" si="167"/>
        <v>5.7678707532255958E-12</v>
      </c>
      <c r="BG197" s="22">
        <f t="shared" si="168"/>
        <v>1.0844062677750854E-11</v>
      </c>
      <c r="BH197" s="62">
        <f t="shared" si="194"/>
        <v>293.33333333334417</v>
      </c>
      <c r="BI197" s="62">
        <f ca="1">AVERAGE(OFFSET($BH$3,0,0,'Données projet'!$E$11+1,1))-AVERAGE(OFFSET($H$3,0,0,'Données projet'!$E$11+1,1))</f>
        <v>165.98015798223548</v>
      </c>
      <c r="BJ197" s="62">
        <f t="shared" ref="BJ197:BJ203" si="206">$BJ$3</f>
        <v>143.97979034100706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-9.6479197964072245E-13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335.16942824912076</v>
      </c>
      <c r="CE197" s="62">
        <f t="shared" ref="CE197:CE203" si="207">$CE$3</f>
        <v>190.00559730122677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152.63300189110146</v>
      </c>
      <c r="T198" s="62">
        <f t="shared" si="204"/>
        <v>236.66430374499453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0.5141319879432632</v>
      </c>
      <c r="AA198" s="23">
        <f>EXP(-LN(2)/25)*AA197+(1-EXP(-LN(2)/25))/(LN(2)/25)*Calculateur!V198*Calculateur!X198*VLOOKUP('Données projet'!$B$9,Paramètres!$A$1:$I$89,3,0)*0.475*44/12</f>
        <v>0.10093448413241961</v>
      </c>
      <c r="AB198" s="23">
        <f>EXP(-LN(2)/2)*AB197+(1-EXP(-LN(2)/2))/(LN(2)/2)*V198*Y198*VLOOKUP('Données projet'!$B$9,Paramètres!$A$1:$I$89,3,0)*0.475*44/12</f>
        <v>4.2800619128881945E-25</v>
      </c>
      <c r="AC198" s="24">
        <f t="shared" si="163"/>
        <v>0.61506647207568277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4.9423249999999994</v>
      </c>
      <c r="AI198" s="14">
        <f>IF('Données projet'!$A$62&gt;35,AI197+AH198-AQ197,IF(A198&lt;'Données projet'!$A$62,$AF$205^A198,IF(A198='Données projet'!$A$62,'Données projet'!$B$62,AI197+AH198-AQ197)))</f>
        <v>842.6873750000002</v>
      </c>
      <c r="AJ198" s="14">
        <f>AI198*VLOOKUP('Données projet'!$B$10,Paramètres!$A$1:$I$89,3,0)*VLOOKUP('Données projet'!$B$10,Paramètres!$A$1:$I$89,5,0)</f>
        <v>920.21461350000015</v>
      </c>
      <c r="AK198" s="14">
        <f t="shared" si="164"/>
        <v>191.62161514489443</v>
      </c>
      <c r="AL198" s="22">
        <f t="shared" si="165"/>
        <v>1936.4480982231914</v>
      </c>
      <c r="AM198" s="62">
        <f t="shared" si="193"/>
        <v>2229.7814315565247</v>
      </c>
      <c r="AN198" s="62">
        <f ca="1">AVERAGE(OFFSET($AM$3,0,0,'Données projet'!$E$10+1,1))-AVERAGE(OFFSET($H$3,0,0,'Données projet'!$E$10+1,1))</f>
        <v>886.54265074144564</v>
      </c>
      <c r="AO198" s="62">
        <f t="shared" si="205"/>
        <v>254.8922423500004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3.979039320256561E-13</v>
      </c>
      <c r="BE198" s="14">
        <f>BD198*VLOOKUP('Données projet'!$B$11,Paramètres!$A$1:$I$89,3,0)*VLOOKUP('Données projet'!$B$11,Paramètres!$A$1:$I$89,5,0)</f>
        <v>4.5838532969355584E-13</v>
      </c>
      <c r="BF198" s="14">
        <f t="shared" si="167"/>
        <v>5.7678707532255958E-12</v>
      </c>
      <c r="BG198" s="22">
        <f t="shared" si="168"/>
        <v>1.0844062677750854E-11</v>
      </c>
      <c r="BH198" s="62">
        <f t="shared" si="194"/>
        <v>293.33333333334417</v>
      </c>
      <c r="BI198" s="62">
        <f ca="1">AVERAGE(OFFSET($BH$3,0,0,'Données projet'!$E$11+1,1))-AVERAGE(OFFSET($H$3,0,0,'Données projet'!$E$11+1,1))</f>
        <v>165.98015798223548</v>
      </c>
      <c r="BJ198" s="62">
        <f t="shared" si="206"/>
        <v>143.97979034100706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-9.6479197964072245E-13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335.16942824912076</v>
      </c>
      <c r="CE198" s="62">
        <f t="shared" si="207"/>
        <v>190.00559730122677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152.63300189110146</v>
      </c>
      <c r="T199" s="62">
        <f t="shared" si="204"/>
        <v>236.66430374499453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0.50405017324924406</v>
      </c>
      <c r="AA199" s="23">
        <f>EXP(-LN(2)/25)*AA198+(1-EXP(-LN(2)/25))/(LN(2)/25)*Calculateur!V199*Calculateur!X199*VLOOKUP('Données projet'!$B$9,Paramètres!$A$1:$I$89,3,0)*0.475*44/12</f>
        <v>9.817442535590476E-2</v>
      </c>
      <c r="AB199" s="23">
        <f>EXP(-LN(2)/2)*AB198+(1-EXP(-LN(2)/2))/(LN(2)/2)*V199*Y199*VLOOKUP('Données projet'!$B$9,Paramètres!$A$1:$I$89,3,0)*0.475*44/12</f>
        <v>3.0264608025015087E-25</v>
      </c>
      <c r="AC199" s="24">
        <f t="shared" si="163"/>
        <v>0.60222459860514888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4.9423249999999994</v>
      </c>
      <c r="AI199" s="14">
        <f>IF('Données projet'!$A$62&gt;35,AI198+AH199-AQ198,IF(A199&lt;'Données projet'!$A$62,$AF$205^A199,IF(A199='Données projet'!$A$62,'Données projet'!$B$62,AI198+AH199-AQ198)))</f>
        <v>847.62970000000018</v>
      </c>
      <c r="AJ199" s="14">
        <f>AI199*VLOOKUP('Données projet'!$B$10,Paramètres!$A$1:$I$89,3,0)*VLOOKUP('Données projet'!$B$10,Paramètres!$A$1:$I$89,5,0)</f>
        <v>925.61163240000019</v>
      </c>
      <c r="AK199" s="14">
        <f t="shared" si="164"/>
        <v>192.61431297328161</v>
      </c>
      <c r="AL199" s="22">
        <f t="shared" si="165"/>
        <v>1947.5768548584656</v>
      </c>
      <c r="AM199" s="62">
        <f t="shared" si="193"/>
        <v>2240.9101881917991</v>
      </c>
      <c r="AN199" s="62">
        <f ca="1">AVERAGE(OFFSET($AM$3,0,0,'Données projet'!$E$10+1,1))-AVERAGE(OFFSET($H$3,0,0,'Données projet'!$E$10+1,1))</f>
        <v>886.54265074144564</v>
      </c>
      <c r="AO199" s="62">
        <f t="shared" si="205"/>
        <v>254.8922423500004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3.979039320256561E-13</v>
      </c>
      <c r="BE199" s="14">
        <f>BD199*VLOOKUP('Données projet'!$B$11,Paramètres!$A$1:$I$89,3,0)*VLOOKUP('Données projet'!$B$11,Paramètres!$A$1:$I$89,5,0)</f>
        <v>4.5838532969355584E-13</v>
      </c>
      <c r="BF199" s="14">
        <f t="shared" si="167"/>
        <v>5.7678707532255958E-12</v>
      </c>
      <c r="BG199" s="22">
        <f t="shared" si="168"/>
        <v>1.0844062677750854E-11</v>
      </c>
      <c r="BH199" s="62">
        <f t="shared" si="194"/>
        <v>293.33333333334417</v>
      </c>
      <c r="BI199" s="62">
        <f ca="1">AVERAGE(OFFSET($BH$3,0,0,'Données projet'!$E$11+1,1))-AVERAGE(OFFSET($H$3,0,0,'Données projet'!$E$11+1,1))</f>
        <v>165.98015798223548</v>
      </c>
      <c r="BJ199" s="62">
        <f t="shared" si="206"/>
        <v>143.97979034100706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-9.6479197964072245E-13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335.16942824912076</v>
      </c>
      <c r="CE199" s="62">
        <f t="shared" si="207"/>
        <v>190.00559730122677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152.63300189110146</v>
      </c>
      <c r="T200" s="62">
        <f t="shared" si="204"/>
        <v>236.66430374499453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0.49416605679207487</v>
      </c>
      <c r="AA200" s="23">
        <f>EXP(-LN(2)/25)*AA199+(1-EXP(-LN(2)/25))/(LN(2)/25)*Calculateur!V200*Calculateur!X200*VLOOKUP('Données projet'!$B$9,Paramètres!$A$1:$I$89,3,0)*0.475*44/12</f>
        <v>9.5489840531778891E-2</v>
      </c>
      <c r="AB200" s="23">
        <f>EXP(-LN(2)/2)*AB199+(1-EXP(-LN(2)/2))/(LN(2)/2)*V200*Y200*VLOOKUP('Données projet'!$B$9,Paramètres!$A$1:$I$89,3,0)*0.475*44/12</f>
        <v>2.1400309564440973E-25</v>
      </c>
      <c r="AC200" s="24">
        <f t="shared" si="163"/>
        <v>0.58965589732385371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4.9423249999999994</v>
      </c>
      <c r="AI200" s="14">
        <f>IF('Données projet'!$A$62&gt;35,AI199+AH200-AQ199,IF(A200&lt;'Données projet'!$A$62,$AF$205^A200,IF(A200='Données projet'!$A$62,'Données projet'!$B$62,AI199+AH200-AQ199)))</f>
        <v>852.57202500000017</v>
      </c>
      <c r="AJ200" s="14">
        <f>AI200*VLOOKUP('Données projet'!$B$10,Paramètres!$A$1:$I$89,3,0)*VLOOKUP('Données projet'!$B$10,Paramètres!$A$1:$I$89,5,0)</f>
        <v>931.00865130000022</v>
      </c>
      <c r="AK200" s="14">
        <f t="shared" si="164"/>
        <v>193.6063372817863</v>
      </c>
      <c r="AL200" s="22">
        <f t="shared" si="165"/>
        <v>1958.7044384466114</v>
      </c>
      <c r="AM200" s="62">
        <f t="shared" si="193"/>
        <v>2252.0377717799447</v>
      </c>
      <c r="AN200" s="62">
        <f ca="1">AVERAGE(OFFSET($AM$3,0,0,'Données projet'!$E$10+1,1))-AVERAGE(OFFSET($H$3,0,0,'Données projet'!$E$10+1,1))</f>
        <v>886.54265074144564</v>
      </c>
      <c r="AO200" s="62">
        <f t="shared" si="205"/>
        <v>254.8922423500004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3.979039320256561E-13</v>
      </c>
      <c r="BE200" s="14">
        <f>BD200*VLOOKUP('Données projet'!$B$11,Paramètres!$A$1:$I$89,3,0)*VLOOKUP('Données projet'!$B$11,Paramètres!$A$1:$I$89,5,0)</f>
        <v>4.5838532969355584E-13</v>
      </c>
      <c r="BF200" s="14">
        <f t="shared" si="167"/>
        <v>5.7678707532255958E-12</v>
      </c>
      <c r="BG200" s="22">
        <f t="shared" si="168"/>
        <v>1.0844062677750854E-11</v>
      </c>
      <c r="BH200" s="62">
        <f t="shared" si="194"/>
        <v>293.33333333334417</v>
      </c>
      <c r="BI200" s="62">
        <f ca="1">AVERAGE(OFFSET($BH$3,0,0,'Données projet'!$E$11+1,1))-AVERAGE(OFFSET($H$3,0,0,'Données projet'!$E$11+1,1))</f>
        <v>165.98015798223548</v>
      </c>
      <c r="BJ200" s="62">
        <f t="shared" si="206"/>
        <v>143.97979034100706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-9.6479197964072245E-13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335.16942824912076</v>
      </c>
      <c r="CE200" s="62">
        <f t="shared" si="207"/>
        <v>190.00559730122677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152.63300189110146</v>
      </c>
      <c r="T201" s="62">
        <f t="shared" si="204"/>
        <v>236.66430374499453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0.48447576182991503</v>
      </c>
      <c r="AA201" s="23">
        <f>EXP(-LN(2)/25)*AA200+(1-EXP(-LN(2)/25))/(LN(2)/25)*Calculateur!V201*Calculateur!X201*VLOOKUP('Données projet'!$B$9,Paramètres!$A$1:$I$89,3,0)*0.475*44/12</f>
        <v>9.2878665820844933E-2</v>
      </c>
      <c r="AB201" s="23">
        <f>EXP(-LN(2)/2)*AB200+(1-EXP(-LN(2)/2))/(LN(2)/2)*V201*Y201*VLOOKUP('Données projet'!$B$9,Paramètres!$A$1:$I$89,3,0)*0.475*44/12</f>
        <v>1.5132304012507543E-25</v>
      </c>
      <c r="AC201" s="24">
        <f t="shared" si="163"/>
        <v>0.57735442765075995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4.9423249999999994</v>
      </c>
      <c r="AI201" s="14">
        <f>IF('Données projet'!$A$62&gt;35,AI200+AH201-AQ200,IF(A201&lt;'Données projet'!$A$62,$AF$205^A201,IF(A201='Données projet'!$A$62,'Données projet'!$B$62,AI200+AH201-AQ200)))</f>
        <v>857.51435000000015</v>
      </c>
      <c r="AJ201" s="14">
        <f>AI201*VLOOKUP('Données projet'!$B$10,Paramètres!$A$1:$I$89,3,0)*VLOOKUP('Données projet'!$B$10,Paramètres!$A$1:$I$89,5,0)</f>
        <v>936.40567020000015</v>
      </c>
      <c r="AK201" s="14">
        <f t="shared" si="164"/>
        <v>194.59769242782238</v>
      </c>
      <c r="AL201" s="22">
        <f t="shared" si="165"/>
        <v>1969.8308565767904</v>
      </c>
      <c r="AM201" s="62">
        <f t="shared" si="193"/>
        <v>2263.1641899101237</v>
      </c>
      <c r="AN201" s="62">
        <f ca="1">AVERAGE(OFFSET($AM$3,0,0,'Données projet'!$E$10+1,1))-AVERAGE(OFFSET($H$3,0,0,'Données projet'!$E$10+1,1))</f>
        <v>886.54265074144564</v>
      </c>
      <c r="AO201" s="62">
        <f t="shared" si="205"/>
        <v>254.8922423500004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3.979039320256561E-13</v>
      </c>
      <c r="BE201" s="14">
        <f>BD201*VLOOKUP('Données projet'!$B$11,Paramètres!$A$1:$I$89,3,0)*VLOOKUP('Données projet'!$B$11,Paramètres!$A$1:$I$89,5,0)</f>
        <v>4.5838532969355584E-13</v>
      </c>
      <c r="BF201" s="14">
        <f t="shared" si="167"/>
        <v>5.7678707532255958E-12</v>
      </c>
      <c r="BG201" s="22">
        <f t="shared" si="168"/>
        <v>1.0844062677750854E-11</v>
      </c>
      <c r="BH201" s="62">
        <f t="shared" si="194"/>
        <v>293.33333333334417</v>
      </c>
      <c r="BI201" s="62">
        <f ca="1">AVERAGE(OFFSET($BH$3,0,0,'Données projet'!$E$11+1,1))-AVERAGE(OFFSET($H$3,0,0,'Données projet'!$E$11+1,1))</f>
        <v>165.98015798223548</v>
      </c>
      <c r="BJ201" s="62">
        <f t="shared" si="206"/>
        <v>143.97979034100706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-9.6479197964072245E-13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335.16942824912076</v>
      </c>
      <c r="CE201" s="62">
        <f t="shared" si="207"/>
        <v>190.00559730122677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152.63300189110146</v>
      </c>
      <c r="T202" s="62">
        <f t="shared" si="204"/>
        <v>236.66430374499453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0.4749754876414668</v>
      </c>
      <c r="AA202" s="23">
        <f>EXP(-LN(2)/25)*AA201+(1-EXP(-LN(2)/25))/(LN(2)/25)*Calculateur!V202*Calculateur!X202*VLOOKUP('Données projet'!$B$9,Paramètres!$A$1:$I$89,3,0)*0.475*44/12</f>
        <v>9.0338893819697175E-2</v>
      </c>
      <c r="AB202" s="23">
        <f>EXP(-LN(2)/2)*AB201+(1-EXP(-LN(2)/2))/(LN(2)/2)*V202*Y202*VLOOKUP('Données projet'!$B$9,Paramètres!$A$1:$I$89,3,0)*0.475*44/12</f>
        <v>1.0700154782220486E-25</v>
      </c>
      <c r="AC202" s="24">
        <f t="shared" si="163"/>
        <v>0.56531438146116397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4.9423249999999994</v>
      </c>
      <c r="AI202" s="14">
        <f>IF('Données projet'!$A$62&gt;35,AI201+AH202-AQ201,IF(A202&lt;'Données projet'!$A$62,$AF$205^A202,IF(A202='Données projet'!$A$62,'Données projet'!$B$62,AI201+AH202-AQ201)))</f>
        <v>862.45667500000013</v>
      </c>
      <c r="AJ202" s="14">
        <f>AI202*VLOOKUP('Données projet'!$B$10,Paramètres!$A$1:$I$89,3,0)*VLOOKUP('Données projet'!$B$10,Paramètres!$A$1:$I$89,5,0)</f>
        <v>941.80268910000007</v>
      </c>
      <c r="AK202" s="14">
        <f t="shared" si="164"/>
        <v>195.58838271566933</v>
      </c>
      <c r="AL202" s="22">
        <f t="shared" si="165"/>
        <v>1980.9561167456243</v>
      </c>
      <c r="AM202" s="62">
        <f t="shared" si="193"/>
        <v>2274.2894500789575</v>
      </c>
      <c r="AN202" s="62">
        <f ca="1">AVERAGE(OFFSET($AM$3,0,0,'Données projet'!$E$10+1,1))-AVERAGE(OFFSET($H$3,0,0,'Données projet'!$E$10+1,1))</f>
        <v>886.54265074144564</v>
      </c>
      <c r="AO202" s="62">
        <f t="shared" si="205"/>
        <v>254.8922423500004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3.979039320256561E-13</v>
      </c>
      <c r="BE202" s="14">
        <f>BD202*VLOOKUP('Données projet'!$B$11,Paramètres!$A$1:$I$89,3,0)*VLOOKUP('Données projet'!$B$11,Paramètres!$A$1:$I$89,5,0)</f>
        <v>4.5838532969355584E-13</v>
      </c>
      <c r="BF202" s="14">
        <f t="shared" si="167"/>
        <v>5.7678707532255958E-12</v>
      </c>
      <c r="BG202" s="22">
        <f t="shared" si="168"/>
        <v>1.0844062677750854E-11</v>
      </c>
      <c r="BH202" s="62">
        <f t="shared" si="194"/>
        <v>293.33333333334417</v>
      </c>
      <c r="BI202" s="62">
        <f ca="1">AVERAGE(OFFSET($BH$3,0,0,'Données projet'!$E$11+1,1))-AVERAGE(OFFSET($H$3,0,0,'Données projet'!$E$11+1,1))</f>
        <v>165.98015798223548</v>
      </c>
      <c r="BJ202" s="62">
        <f t="shared" si="206"/>
        <v>143.97979034100706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-9.6479197964072245E-13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335.16942824912076</v>
      </c>
      <c r="CE202" s="62">
        <f t="shared" si="207"/>
        <v>190.00559730122677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152.63300189110146</v>
      </c>
      <c r="T203" s="62">
        <f t="shared" si="204"/>
        <v>236.66430374499453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0.46566150803525896</v>
      </c>
      <c r="AA203" s="23">
        <f>EXP(-LN(2)/25)*AA202+(1-EXP(-LN(2)/25))/(LN(2)/25)*Calculateur!V203*Calculateur!X203*VLOOKUP('Données projet'!$B$9,Paramètres!$A$1:$I$89,3,0)*0.475*44/12</f>
        <v>8.7868572017481605E-2</v>
      </c>
      <c r="AB203" s="23">
        <f>EXP(-LN(2)/2)*AB202+(1-EXP(-LN(2)/2))/(LN(2)/2)*V203*Y203*VLOOKUP('Données projet'!$B$9,Paramètres!$A$1:$I$89,3,0)*0.475*44/12</f>
        <v>7.5661520062537717E-26</v>
      </c>
      <c r="AC203" s="24">
        <f t="shared" si="163"/>
        <v>0.55353008005274051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>
        <f>VLOOKUP(A203,'Données projet'!$A$61:$I$81,2,0)</f>
        <v>867.399</v>
      </c>
      <c r="AG203" s="13">
        <f>VLOOKUP(A203,'Données projet'!$A$61:$I$81,9,0)</f>
        <v>4.9423249999999994</v>
      </c>
      <c r="AH203" s="13">
        <f t="array" ref="AH203">INDEX(AG:AG,MIN(IF(ISNUMBER(AG203:AG399),ROW(AG203:AG399),"")))</f>
        <v>4.9423249999999994</v>
      </c>
      <c r="AI203" s="14">
        <f>IF('Données projet'!$A$62&gt;35,AI202+AH203-AQ202,IF(A203&lt;'Données projet'!$A$62,$AF$205^A203,IF(A203='Données projet'!$A$62,'Données projet'!$B$62,AI202+AH203-AQ202)))</f>
        <v>867.39900000000011</v>
      </c>
      <c r="AJ203" s="14">
        <f>AI203*VLOOKUP('Données projet'!$B$10,Paramètres!$A$1:$I$89,3,0)*VLOOKUP('Données projet'!$B$10,Paramètres!$A$1:$I$89,5,0)</f>
        <v>947.1997080000001</v>
      </c>
      <c r="AK203" s="14">
        <f t="shared" si="164"/>
        <v>196.57841239742055</v>
      </c>
      <c r="AL203" s="22">
        <f t="shared" si="165"/>
        <v>1992.0802263588409</v>
      </c>
      <c r="AM203" s="62">
        <f t="shared" si="193"/>
        <v>2285.4135596921742</v>
      </c>
      <c r="AN203" s="62">
        <f ca="1">AVERAGE(OFFSET($AM$3,0,0,'Données projet'!$E$10+1,1))-AVERAGE(OFFSET($H$3,0,0,'Données projet'!$E$10+1,1))</f>
        <v>886.54265074144564</v>
      </c>
      <c r="AO203" s="62">
        <f t="shared" si="205"/>
        <v>254.8922423500004</v>
      </c>
      <c r="AP203" s="16">
        <f>IF(ISNA(VLOOKUP(A203,'Données projet'!$A$61:$I$81,3,0)),0,VLOOKUP(A203,'Données projet'!$A$61:$I$81,3,0))</f>
        <v>8</v>
      </c>
      <c r="AQ203" s="16">
        <f>IF(ISNA(VLOOKUP(A203,'Données projet'!$A$61:$I$81,4,0)),0,VLOOKUP(A203,'Données projet'!$A$61:$I$81,4,0))</f>
        <v>867.399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3.979039320256561E-13</v>
      </c>
      <c r="BE203" s="14">
        <f>BD203*VLOOKUP('Données projet'!$B$11,Paramètres!$A$1:$I$89,3,0)*VLOOKUP('Données projet'!$B$11,Paramètres!$A$1:$I$89,5,0)</f>
        <v>4.5838532969355584E-13</v>
      </c>
      <c r="BF203" s="14">
        <f t="shared" si="167"/>
        <v>5.7678707532255958E-12</v>
      </c>
      <c r="BG203" s="22">
        <f t="shared" si="168"/>
        <v>1.0844062677750854E-11</v>
      </c>
      <c r="BH203" s="62">
        <f t="shared" si="194"/>
        <v>293.33333333334417</v>
      </c>
      <c r="BI203" s="62">
        <f ca="1">AVERAGE(OFFSET($BH$3,0,0,'Données projet'!$E$11+1,1))-AVERAGE(OFFSET($H$3,0,0,'Données projet'!$E$11+1,1))</f>
        <v>165.98015798223548</v>
      </c>
      <c r="BJ203" s="62">
        <f t="shared" si="206"/>
        <v>143.97979034100706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-9.6479197964072245E-13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335.16942824912076</v>
      </c>
      <c r="CE203" s="62">
        <f t="shared" si="207"/>
        <v>190.00559730122677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1.35673740976754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1.2122414824500731</v>
      </c>
      <c r="BA205" s="88">
        <f>EXP(LN('Données projet'!B88)/'Données projet'!A88)</f>
        <v>1.3178491739730698</v>
      </c>
      <c r="BV205" s="88">
        <f>EXP(LN('Données projet'!B114)/'Données projet'!A114)</f>
        <v>1.2054868146447177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I10" sqref="I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3.8808000000000002</v>
      </c>
      <c r="C6" s="156">
        <f ca="1">IF(OR('Données projet'!B9="",'Données projet'!C9="",'Données projet'!C9=0%),0,Calculateur!S3)</f>
        <v>152.63300189110146</v>
      </c>
      <c r="D6" s="156">
        <f>IF(OR('Données projet'!B9="",'Données projet'!C9="",'Données projet'!C9=0%),0,Calculateur!T3)</f>
        <v>236.66430374499453</v>
      </c>
      <c r="E6" s="156">
        <f ca="1">MIN(C6,D6)</f>
        <v>152.63300189110146</v>
      </c>
      <c r="F6" s="156">
        <f ca="1">E6*B6</f>
        <v>592.33815373898653</v>
      </c>
      <c r="G6" s="156">
        <f ca="1">F6*(100%-'Données projet'!$C$24)*(100%-'Données projet'!$C$25)*(100%-'Données projet'!$C$26)*(100%-'Données projet'!$C$27)</f>
        <v>453.13868761032467</v>
      </c>
      <c r="H6" s="157">
        <f>IF(OR('Données projet'!B9="",'Données projet'!C9="",'Données projet'!C9=0%),0,AVERAGE(Calculateur!$AC$3:$AC$33)*B6)</f>
        <v>33.071819819784018</v>
      </c>
      <c r="I6" s="158">
        <f>H6*(100%-'Données projet'!$C$24)*(100%-'Données projet'!$C$25)*(100%-'Données projet'!$C$26)*(100%-'Données projet'!$C$27)</f>
        <v>25.299942162134773</v>
      </c>
      <c r="J6" s="159">
        <f>IF(OR('Données projet'!B9="",'Données projet'!C9="",'Données projet'!C9=0%),0,SUM(Calculateur!$V$3:$V$33)*VLOOKUP('Données projet'!$B$9,Paramètres!$A$1:$I$89,9,0)*B6)</f>
        <v>256.2142968</v>
      </c>
      <c r="K6" s="160">
        <f>J6*(100%-'Données projet'!$C$24)*(100%-'Données projet'!$C$25)*(100%-'Données projet'!$C$26)*(100%-'Données projet'!$C$27)</f>
        <v>196.003937052</v>
      </c>
      <c r="L6" s="161">
        <f ca="1">G6+I6+K6</f>
        <v>674.44256682445939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Chêne-liège</v>
      </c>
      <c r="B7" s="163">
        <f>'Données projet'!D10</f>
        <v>0.76439999999999997</v>
      </c>
      <c r="C7" s="156">
        <f ca="1">IF(OR('Données projet'!B10="",'Données projet'!C10="",'Données projet'!C10=0%),0,Calculateur!AN3)</f>
        <v>886.54265074144564</v>
      </c>
      <c r="D7" s="156">
        <f>IF(OR('Données projet'!B10="",'Données projet'!C10="",'Données projet'!C10=0%),0,Calculateur!AO3)</f>
        <v>254.8922423500004</v>
      </c>
      <c r="E7" s="156">
        <f t="shared" ref="E7:E15" ca="1" si="0">MIN(C7,D7)</f>
        <v>254.8922423500004</v>
      </c>
      <c r="F7" s="156">
        <f t="shared" ref="F7:F15" ca="1" si="1">E7*B7</f>
        <v>194.83963005234031</v>
      </c>
      <c r="G7" s="156">
        <f ca="1">F7*(100%-'Données projet'!$C$24)*(100%-'Données projet'!$C$25)*(100%-'Données projet'!$C$26)*(100%-'Données projet'!$C$27)</f>
        <v>149.05231699004034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2.6106170999999998</v>
      </c>
      <c r="K7" s="160">
        <f>J7*(100%-'Données projet'!$C$24)*(100%-'Données projet'!$C$25)*(100%-'Données projet'!$C$26)*(100%-'Données projet'!$C$27)</f>
        <v>1.9971220814999999</v>
      </c>
      <c r="L7" s="161">
        <f t="shared" ref="L7:L15" ca="1" si="2">G7+I7+K7</f>
        <v>151.04943907154035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pignon</v>
      </c>
      <c r="B8" s="163">
        <f>'Données projet'!D11</f>
        <v>0.76439999999999997</v>
      </c>
      <c r="C8" s="156">
        <f ca="1">IF(OR('Données projet'!B11="",'Données projet'!C11="",'Données projet'!C11=0%),0,Calculateur!BI3)</f>
        <v>165.98015798223548</v>
      </c>
      <c r="D8" s="156">
        <f>IF(OR('Données projet'!B11="",'Données projet'!C11="",'Données projet'!C11=0%),0,Calculateur!BJ3)</f>
        <v>143.97979034100706</v>
      </c>
      <c r="E8" s="156">
        <f t="shared" ca="1" si="0"/>
        <v>143.97979034100706</v>
      </c>
      <c r="F8" s="156">
        <f t="shared" ca="1" si="1"/>
        <v>110.05815173666579</v>
      </c>
      <c r="G8" s="156">
        <f ca="1">F8*(100%-'Données projet'!$C$24)*(100%-'Données projet'!$C$25)*(100%-'Données projet'!$C$26)*(100%-'Données projet'!$C$27)</f>
        <v>84.194486078549332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5.6863716000000002</v>
      </c>
      <c r="K8" s="160">
        <f>J8*(100%-'Données projet'!$C$24)*(100%-'Données projet'!$C$25)*(100%-'Données projet'!$C$26)*(100%-'Données projet'!$C$27)</f>
        <v>4.3500742740000007</v>
      </c>
      <c r="L8" s="161">
        <f t="shared" ca="1" si="2"/>
        <v>88.544560352549325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tauzin</v>
      </c>
      <c r="B9" s="163">
        <f>'Données projet'!D12</f>
        <v>0.47039999999999998</v>
      </c>
      <c r="C9" s="156">
        <f ca="1">IF(OR('Données projet'!B12="",'Données projet'!C12="",'Données projet'!C12=0%),0,Calculateur!CD3)</f>
        <v>335.16942824912076</v>
      </c>
      <c r="D9" s="156">
        <f>IF(OR('Données projet'!B12="",'Données projet'!C12="",'Données projet'!C12=0%),0,Calculateur!CE3)</f>
        <v>190.00559730122677</v>
      </c>
      <c r="E9" s="156">
        <f t="shared" ca="1" si="0"/>
        <v>190.00559730122677</v>
      </c>
      <c r="F9" s="156">
        <f t="shared" ca="1" si="1"/>
        <v>89.378632970497065</v>
      </c>
      <c r="G9" s="156">
        <f ca="1">F9*(100%-'Données projet'!$C$24)*(100%-'Données projet'!$C$25)*(100%-'Données projet'!$C$26)*(100%-'Données projet'!$C$27)</f>
        <v>68.374654222430252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3.4104000000000001</v>
      </c>
      <c r="K9" s="160">
        <f>J9*(100%-'Données projet'!$C$24)*(100%-'Données projet'!$C$25)*(100%-'Données projet'!$C$26)*(100%-'Données projet'!$C$27)</f>
        <v>2.6089560000000001</v>
      </c>
      <c r="L9" s="161">
        <f t="shared" ca="1" si="2"/>
        <v>70.983610222430258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986.61456849848969</v>
      </c>
      <c r="G16" s="175">
        <f t="shared" ca="1" si="3"/>
        <v>754.76014490134457</v>
      </c>
      <c r="H16" s="176">
        <f t="shared" si="3"/>
        <v>33.071819819784018</v>
      </c>
      <c r="I16" s="176">
        <f t="shared" si="3"/>
        <v>25.299942162134773</v>
      </c>
      <c r="J16" s="177">
        <f t="shared" si="3"/>
        <v>267.92168549999997</v>
      </c>
      <c r="K16" s="177">
        <f t="shared" si="3"/>
        <v>204.96008940750002</v>
      </c>
      <c r="L16" s="178">
        <f t="shared" ca="1" si="3"/>
        <v>985.02017647097921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Chêne-liège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pignon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tauzin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O3" zoomScale="115" zoomScaleNormal="115" workbookViewId="0">
      <selection activeCell="W27" sqref="W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3286.4889216976117</v>
      </c>
      <c r="U10" s="190">
        <f>'Données projet'!D9</f>
        <v>3.8808000000000002</v>
      </c>
      <c r="V10" s="189">
        <f>U10*T10</f>
        <v>12754.206207324092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Chêne-liège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0.76439999999999997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pignon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10.753645208184114</v>
      </c>
      <c r="U12" s="190">
        <f>'Données projet'!D11</f>
        <v>0.76439999999999997</v>
      </c>
      <c r="V12" s="189">
        <f t="shared" ref="V12:V19" si="1">U12*T12</f>
        <v>8.2200863971359368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tauzin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368.53027153509686</v>
      </c>
      <c r="U13" s="190">
        <f>'Données projet'!D12</f>
        <v>0.47039999999999998</v>
      </c>
      <c r="V13" s="189">
        <f t="shared" si="1"/>
        <v>173.35663973010955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99.999999999999886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2999.9999999999964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-10584.217066548663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13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216.20689314492361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14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-10800.423959693586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15</v>
      </c>
      <c r="B26" s="193">
        <f>'Données projet'!D39</f>
        <v>23.3</v>
      </c>
      <c r="C26" s="206">
        <v>15</v>
      </c>
      <c r="D26" s="194">
        <f t="shared" si="2"/>
        <v>349.5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16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17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18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19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20</v>
      </c>
      <c r="B31" s="193">
        <f>'Données projet'!D44</f>
        <v>34.1</v>
      </c>
      <c r="C31" s="206">
        <v>20</v>
      </c>
      <c r="D31" s="194">
        <f t="shared" si="2"/>
        <v>682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21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22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27</v>
      </c>
      <c r="B34" s="193">
        <f>'Données projet'!D47</f>
        <v>54.5</v>
      </c>
      <c r="C34" s="206">
        <v>25</v>
      </c>
      <c r="D34" s="194">
        <f t="shared" si="2"/>
        <v>1362.5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32</v>
      </c>
      <c r="B35" s="193">
        <f>'Données projet'!D48</f>
        <v>62.7</v>
      </c>
      <c r="C35" s="206">
        <v>30</v>
      </c>
      <c r="D35" s="194">
        <f t="shared" si="2"/>
        <v>1881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37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42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43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44</v>
      </c>
      <c r="B39" s="193">
        <f>'Données projet'!D52</f>
        <v>337.8</v>
      </c>
      <c r="C39" s="206">
        <v>40</v>
      </c>
      <c r="D39" s="194">
        <f t="shared" si="2"/>
        <v>13512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Chêne-liège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13.661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40</v>
      </c>
      <c r="B55" s="193">
        <f>'Données projet'!D63</f>
        <v>16.934000000000001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55</v>
      </c>
      <c r="B56" s="193">
        <f>'Données projet'!D64</f>
        <v>26.277999999999999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70</v>
      </c>
      <c r="B57" s="193">
        <f>'Données projet'!D65</f>
        <v>35.125999999999998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100</v>
      </c>
      <c r="B58" s="193">
        <f>'Données projet'!D66</f>
        <v>54.889000000000003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130</v>
      </c>
      <c r="B59" s="193">
        <f>'Données projet'!D67</f>
        <v>71.509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160</v>
      </c>
      <c r="B60" s="193">
        <f>'Données projet'!D68</f>
        <v>83.712999999999994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200</v>
      </c>
      <c r="B61" s="193">
        <f>'Données projet'!D69</f>
        <v>867.399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pignon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str">
        <f>IF(O77+1&lt;=MIN('Données projet'!$E$9:$E$18),O77+1,"STOP")</f>
        <v>STOP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17.3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11.4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50</v>
      </c>
      <c r="B89" s="193">
        <f>'Données projet'!D92</f>
        <v>12.6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60</v>
      </c>
      <c r="B90" s="193">
        <f>'Données projet'!D93</f>
        <v>13.2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70</v>
      </c>
      <c r="B91" s="193">
        <f>'Données projet'!D94</f>
        <v>13.4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80</v>
      </c>
      <c r="B92" s="193">
        <f>'Données projet'!D95</f>
        <v>14.2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90</v>
      </c>
      <c r="B93" s="193">
        <f>'Données projet'!D96</f>
        <v>14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100</v>
      </c>
      <c r="B94" s="193">
        <f>'Données projet'!D97</f>
        <v>13.7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110</v>
      </c>
      <c r="B95" s="193">
        <f>'Données projet'!D98</f>
        <v>13.3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120</v>
      </c>
      <c r="B96" s="193">
        <f>'Données projet'!D99</f>
        <v>12.9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130</v>
      </c>
      <c r="B97" s="193">
        <f>'Données projet'!D100</f>
        <v>12.5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140</v>
      </c>
      <c r="B98" s="193">
        <f>'Données projet'!D101</f>
        <v>12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150</v>
      </c>
      <c r="B99" s="193">
        <f>'Données projet'!D102</f>
        <v>158.5</v>
      </c>
      <c r="C99" s="204">
        <f>50</f>
        <v>50</v>
      </c>
      <c r="D99" s="191">
        <f t="shared" si="6"/>
        <v>7925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tauzin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29</v>
      </c>
      <c r="C118" s="204">
        <v>10</v>
      </c>
      <c r="D118" s="191">
        <f t="shared" si="8"/>
        <v>290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42</v>
      </c>
      <c r="C120" s="204">
        <v>10</v>
      </c>
      <c r="D120" s="191">
        <f t="shared" si="8"/>
        <v>420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42</v>
      </c>
      <c r="C122" s="204">
        <v>10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42</v>
      </c>
      <c r="C124" s="204">
        <v>15</v>
      </c>
      <c r="D124" s="191">
        <f t="shared" si="8"/>
        <v>630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0</v>
      </c>
      <c r="C125" s="204">
        <v>15</v>
      </c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42</v>
      </c>
      <c r="C126" s="204">
        <v>20</v>
      </c>
      <c r="D126" s="191">
        <f t="shared" si="8"/>
        <v>840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0</v>
      </c>
      <c r="C127" s="204">
        <v>20</v>
      </c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42</v>
      </c>
      <c r="C128" s="204">
        <v>25</v>
      </c>
      <c r="D128" s="191">
        <f t="shared" si="8"/>
        <v>1050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90</v>
      </c>
      <c r="B129" s="193">
        <f>'Données projet'!D127</f>
        <v>42</v>
      </c>
      <c r="C129" s="204">
        <v>25</v>
      </c>
      <c r="D129" s="191">
        <f t="shared" si="8"/>
        <v>1050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100</v>
      </c>
      <c r="B130" s="193">
        <f>'Données projet'!D128</f>
        <v>42</v>
      </c>
      <c r="C130" s="204">
        <v>30</v>
      </c>
      <c r="D130" s="191">
        <f t="shared" si="8"/>
        <v>1260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110</v>
      </c>
      <c r="B131" s="193">
        <f>'Données projet'!D129</f>
        <v>39</v>
      </c>
      <c r="C131" s="204">
        <v>35</v>
      </c>
      <c r="D131" s="191">
        <f t="shared" si="8"/>
        <v>1365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120</v>
      </c>
      <c r="B132" s="193">
        <f>'Données projet'!D130</f>
        <v>35</v>
      </c>
      <c r="C132" s="204">
        <v>40</v>
      </c>
      <c r="D132" s="191">
        <f t="shared" si="8"/>
        <v>1400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130</v>
      </c>
      <c r="B133" s="193">
        <f>'Données projet'!D131</f>
        <v>31</v>
      </c>
      <c r="C133" s="204">
        <v>45</v>
      </c>
      <c r="D133" s="191">
        <f t="shared" si="8"/>
        <v>1395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140</v>
      </c>
      <c r="B134" s="193">
        <f>'Données projet'!D132</f>
        <v>27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150</v>
      </c>
      <c r="B135" s="193">
        <f>'Données projet'!D133</f>
        <v>293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Oceane.CORNU</cp:lastModifiedBy>
  <dcterms:created xsi:type="dcterms:W3CDTF">2021-02-01T08:22:39Z</dcterms:created>
  <dcterms:modified xsi:type="dcterms:W3CDTF">2023-08-01T14:21:23Z</dcterms:modified>
</cp:coreProperties>
</file>