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codeName="ThisWorkbook"/>
  <mc:AlternateContent xmlns:mc="http://schemas.openxmlformats.org/markup-compatibility/2006">
    <mc:Choice Requires="x15">
      <x15ac:absPath xmlns:x15ac="http://schemas.microsoft.com/office/spreadsheetml/2010/11/ac" url="J:\1- LABEL BAS CARBONE\1- PROJETS LBC\P6 LANDIRAS [GARRIGOU B. &amp; B.]\DOCUMENTS LBC\"/>
    </mc:Choice>
  </mc:AlternateContent>
  <xr:revisionPtr revIDLastSave="0" documentId="13_ncr:1_{32B6EAE2-DB1D-4CBE-BAB7-40AEA0AD2719}" xr6:coauthVersionLast="47" xr6:coauthVersionMax="47" xr10:uidLastSave="{00000000-0000-0000-0000-000000000000}"/>
  <bookViews>
    <workbookView xWindow="-120" yWindow="-120" windowWidth="29040" windowHeight="15720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5" i="1" l="1"/>
  <c r="B45" i="1"/>
  <c r="B44" i="1"/>
  <c r="B43" i="1"/>
  <c r="B42" i="1"/>
  <c r="B41" i="1"/>
  <c r="B40" i="1"/>
  <c r="B39" i="1"/>
  <c r="B38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EA4" i="2" s="1"/>
  <c r="GI4" i="2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H6" i="2" l="1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EB7" i="2" s="1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HH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I13" i="2" l="1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H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A35" i="2" l="1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W38" i="2"/>
  <c r="EA38" i="2"/>
  <c r="HH38" i="2"/>
  <c r="EX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H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G48" i="2" l="1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G50" i="2" l="1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EV57" i="2"/>
  <c r="HH57" i="2"/>
  <c r="EB57" i="2"/>
  <c r="HG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H60" i="2" l="1"/>
  <c r="EW60" i="2"/>
  <c r="HG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EV64" i="2" s="1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EB70" i="2" s="1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G70" i="2" l="1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HI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V105" i="2" l="1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EB108" i="2" s="1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FS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X113" i="2"/>
  <c r="FS113" i="2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FS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EA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EV128" i="2" s="1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X130" i="2"/>
  <c r="EB130" i="2"/>
  <c r="HH130" i="2"/>
  <c r="FS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EC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EV133" i="2" s="1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X141" i="2" l="1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EX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HI147" i="2" l="1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EC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HG150" i="2"/>
  <c r="EV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HH154" i="2" l="1"/>
  <c r="EX154" i="2"/>
  <c r="AA154" i="2"/>
  <c r="EV154" i="2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FS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V158" i="2" l="1"/>
  <c r="HG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Y159" i="2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B161" i="2" l="1"/>
  <c r="AB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HH162" i="2" l="1"/>
  <c r="HG162" i="2"/>
  <c r="EB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A163" i="2" l="1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EV164" i="2" s="1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G164" i="2" l="1"/>
  <c r="EA164" i="2"/>
  <c r="EX164" i="2"/>
  <c r="DI163" i="2"/>
  <c r="DH164" i="2"/>
  <c r="FS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HH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FS169" i="2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I172" i="2" l="1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H173" i="2" l="1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EW175" i="2" s="1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B175" i="2" l="1"/>
  <c r="EA175" i="2"/>
  <c r="FS175" i="2"/>
  <c r="HI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EB178" i="2"/>
  <c r="HG178" i="2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EB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HG181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EX182" i="2"/>
  <c r="DG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FS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Y184" i="2" s="1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A185" i="2" l="1"/>
  <c r="EV185" i="2"/>
  <c r="EW185" i="2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R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H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V189" i="2" l="1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W191" i="2" l="1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C192" i="2" l="1"/>
  <c r="EW192" i="2"/>
  <c r="HG192" i="2"/>
  <c r="EA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HG195" i="2" l="1"/>
  <c r="AA195" i="2"/>
  <c r="EA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FS198" i="2" l="1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H199" i="2" l="1"/>
  <c r="EV199" i="2"/>
  <c r="FS199" i="2"/>
  <c r="EW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/>
  <c r="DI200" i="2"/>
  <c r="FS201" i="2" l="1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X202" i="2" l="1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P203" i="2" l="1"/>
  <c r="HG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<sst xmlns="http://schemas.openxmlformats.org/spreadsheetml/2006/main" count="1170" uniqueCount="324">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</sst>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2.1092085567804149</c:v>
                </c:pt>
                <c:pt idx="2">
                  <c:v>2.8690068673716276</c:v>
                </c:pt>
                <c:pt idx="3">
                  <c:v>3.9036654477309445</c:v>
                </c:pt>
                <c:pt idx="4">
                  <c:v>5.3130109258366689</c:v>
                </c:pt>
                <c:pt idx="5">
                  <c:v>7.2332599189088382</c:v>
                </c:pt>
                <c:pt idx="6">
                  <c:v>9.8503295906308832</c:v>
                </c:pt>
                <c:pt idx="7">
                  <c:v>13.418032112102033</c:v>
                </c:pt>
                <c:pt idx="8">
                  <c:v>18.282950136336385</c:v>
                </c:pt>
                <c:pt idx="9">
                  <c:v>24.918453380211091</c:v>
                </c:pt>
                <c:pt idx="10">
                  <c:v>33.971224547806742</c:v>
                </c:pt>
                <c:pt idx="11">
                  <c:v>46.324906967585214</c:v>
                </c:pt>
                <c:pt idx="12">
                  <c:v>63.187191019914216</c:v>
                </c:pt>
                <c:pt idx="13">
                  <c:v>83.488899475540265</c:v>
                </c:pt>
                <c:pt idx="14">
                  <c:v>103.66519566736689</c:v>
                </c:pt>
                <c:pt idx="15">
                  <c:v>123.74409768687555</c:v>
                </c:pt>
                <c:pt idx="16">
                  <c:v>143.74369273961921</c:v>
                </c:pt>
                <c:pt idx="17">
                  <c:v>133.57348387799991</c:v>
                </c:pt>
                <c:pt idx="18">
                  <c:v>155.9773303229338</c:v>
                </c:pt>
                <c:pt idx="19">
                  <c:v>178.30464667323099</c:v>
                </c:pt>
                <c:pt idx="20">
                  <c:v>200.5663743561463</c:v>
                </c:pt>
                <c:pt idx="21">
                  <c:v>182.71012786498821</c:v>
                </c:pt>
                <c:pt idx="22">
                  <c:v>208.44739368904513</c:v>
                </c:pt>
                <c:pt idx="23">
                  <c:v>234.11124817795204</c:v>
                </c:pt>
                <c:pt idx="24">
                  <c:v>259.71087111615634</c:v>
                </c:pt>
                <c:pt idx="25">
                  <c:v>230.08557934702876</c:v>
                </c:pt>
                <c:pt idx="26">
                  <c:v>255.66263432728726</c:v>
                </c:pt>
                <c:pt idx="27">
                  <c:v>281.18178557188253</c:v>
                </c:pt>
                <c:pt idx="28">
                  <c:v>306.64902461461696</c:v>
                </c:pt>
                <c:pt idx="29">
                  <c:v>277.5578261052076</c:v>
                </c:pt>
                <c:pt idx="30">
                  <c:v>301.52746504321459</c:v>
                </c:pt>
                <c:pt idx="31">
                  <c:v>325.45469493676904</c:v>
                </c:pt>
                <c:pt idx="32">
                  <c:v>349.3430700085691</c:v>
                </c:pt>
                <c:pt idx="33">
                  <c:v>373.19561882188344</c:v>
                </c:pt>
                <c:pt idx="34">
                  <c:v>397.0149513522162</c:v>
                </c:pt>
                <c:pt idx="35">
                  <c:v>339.57504464240793</c:v>
                </c:pt>
                <c:pt idx="36">
                  <c:v>358.5310296135292</c:v>
                </c:pt>
                <c:pt idx="37">
                  <c:v>377.46509105219997</c:v>
                </c:pt>
                <c:pt idx="38">
                  <c:v>396.3784829009673</c:v>
                </c:pt>
                <c:pt idx="39">
                  <c:v>415.27232971683731</c:v>
                </c:pt>
                <c:pt idx="40">
                  <c:v>434.14764542220854</c:v>
                </c:pt>
                <c:pt idx="41">
                  <c:v>404.84171743812584</c:v>
                </c:pt>
                <c:pt idx="42">
                  <c:v>418.89627246995241</c:v>
                </c:pt>
                <c:pt idx="43">
                  <c:v>432.94067027087976</c:v>
                </c:pt>
                <c:pt idx="44">
                  <c:v>446.97528670607409</c:v>
                </c:pt>
                <c:pt idx="45">
                  <c:v>461.00047211515522</c:v>
                </c:pt>
                <c:pt idx="46">
                  <c:v>475.01655378575714</c:v>
                </c:pt>
                <c:pt idx="47">
                  <c:v>457.25709576545205</c:v>
                </c:pt>
                <c:pt idx="48">
                  <c:v>466.51918419318849</c:v>
                </c:pt>
                <c:pt idx="49">
                  <c:v>475.77735351010136</c:v>
                </c:pt>
                <c:pt idx="50">
                  <c:v>485.03169075090017</c:v>
                </c:pt>
                <c:pt idx="51">
                  <c:v>494.28227935737868</c:v>
                </c:pt>
                <c:pt idx="52">
                  <c:v>503.52919939265217</c:v>
                </c:pt>
                <c:pt idx="53">
                  <c:v>512.77252773883436</c:v>
                </c:pt>
                <c:pt idx="54">
                  <c:v>522.01233827972089</c:v>
                </c:pt>
                <c:pt idx="55">
                  <c:v>503.82998023383288</c:v>
                </c:pt>
                <c:pt idx="56">
                  <c:v>507.67647479696649</c:v>
                </c:pt>
                <c:pt idx="57">
                  <c:v>511.52235334624737</c:v>
                </c:pt>
                <c:pt idx="58">
                  <c:v>515.3676211703862</c:v>
                </c:pt>
                <c:pt idx="59">
                  <c:v>519.2122834726739</c:v>
                </c:pt>
                <c:pt idx="60">
                  <c:v>523.05634537299545</c:v>
                </c:pt>
                <c:pt idx="61">
                  <c:v>526.89981190978597</c:v>
                </c:pt>
                <c:pt idx="62">
                  <c:v>530.74268804192309</c:v>
                </c:pt>
                <c:pt idx="63">
                  <c:v>6.8067219078872727E-12</c:v>
                </c:pt>
                <c:pt idx="64">
                  <c:v>6.8067219078872727E-12</c:v>
                </c:pt>
                <c:pt idx="65">
                  <c:v>6.8067219078872727E-12</c:v>
                </c:pt>
                <c:pt idx="66">
                  <c:v>6.8067219078872727E-12</c:v>
                </c:pt>
                <c:pt idx="67">
                  <c:v>6.8067219078872727E-12</c:v>
                </c:pt>
                <c:pt idx="68">
                  <c:v>6.8067219078872727E-12</c:v>
                </c:pt>
                <c:pt idx="69">
                  <c:v>6.8067219078872727E-12</c:v>
                </c:pt>
                <c:pt idx="70">
                  <c:v>6.8067219078872727E-12</c:v>
                </c:pt>
                <c:pt idx="71">
                  <c:v>6.8067219078872727E-12</c:v>
                </c:pt>
                <c:pt idx="72">
                  <c:v>6.8067219078872727E-12</c:v>
                </c:pt>
                <c:pt idx="73">
                  <c:v>6.8067219078872727E-12</c:v>
                </c:pt>
                <c:pt idx="74">
                  <c:v>6.8067219078872727E-12</c:v>
                </c:pt>
                <c:pt idx="75">
                  <c:v>6.8067219078872727E-12</c:v>
                </c:pt>
                <c:pt idx="76">
                  <c:v>6.8067219078872727E-12</c:v>
                </c:pt>
                <c:pt idx="77">
                  <c:v>6.8067219078872727E-12</c:v>
                </c:pt>
                <c:pt idx="78">
                  <c:v>6.8067219078872727E-12</c:v>
                </c:pt>
                <c:pt idx="79">
                  <c:v>6.8067219078872727E-12</c:v>
                </c:pt>
                <c:pt idx="80">
                  <c:v>6.8067219078872727E-12</c:v>
                </c:pt>
                <c:pt idx="81">
                  <c:v>6.8067219078872727E-12</c:v>
                </c:pt>
                <c:pt idx="82">
                  <c:v>6.8067219078872727E-12</c:v>
                </c:pt>
                <c:pt idx="83">
                  <c:v>6.8067219078872727E-12</c:v>
                </c:pt>
                <c:pt idx="84">
                  <c:v>6.8067219078872727E-12</c:v>
                </c:pt>
                <c:pt idx="85">
                  <c:v>6.8067219078872727E-12</c:v>
                </c:pt>
                <c:pt idx="86">
                  <c:v>6.8067219078872727E-12</c:v>
                </c:pt>
                <c:pt idx="87">
                  <c:v>6.8067219078872727E-12</c:v>
                </c:pt>
                <c:pt idx="88">
                  <c:v>6.8067219078872727E-12</c:v>
                </c:pt>
                <c:pt idx="89">
                  <c:v>6.8067219078872727E-12</c:v>
                </c:pt>
                <c:pt idx="90">
                  <c:v>6.8067219078872727E-12</c:v>
                </c:pt>
                <c:pt idx="91">
                  <c:v>6.8067219078872727E-12</c:v>
                </c:pt>
                <c:pt idx="92">
                  <c:v>6.8067219078872727E-12</c:v>
                </c:pt>
                <c:pt idx="93">
                  <c:v>6.8067219078872727E-12</c:v>
                </c:pt>
                <c:pt idx="94">
                  <c:v>6.8067219078872727E-12</c:v>
                </c:pt>
                <c:pt idx="95">
                  <c:v>6.8067219078872727E-12</c:v>
                </c:pt>
                <c:pt idx="96">
                  <c:v>6.8067219078872727E-12</c:v>
                </c:pt>
                <c:pt idx="97">
                  <c:v>6.8067219078872727E-12</c:v>
                </c:pt>
                <c:pt idx="98">
                  <c:v>6.8067219078872727E-12</c:v>
                </c:pt>
                <c:pt idx="99">
                  <c:v>6.8067219078872727E-12</c:v>
                </c:pt>
                <c:pt idx="100">
                  <c:v>6.8067219078872727E-12</c:v>
                </c:pt>
                <c:pt idx="101">
                  <c:v>6.8067219078872727E-12</c:v>
                </c:pt>
                <c:pt idx="102">
                  <c:v>6.8067219078872727E-12</c:v>
                </c:pt>
                <c:pt idx="103">
                  <c:v>6.8067219078872727E-12</c:v>
                </c:pt>
                <c:pt idx="104">
                  <c:v>6.8067219078872727E-12</c:v>
                </c:pt>
                <c:pt idx="105">
                  <c:v>6.8067219078872727E-12</c:v>
                </c:pt>
                <c:pt idx="106">
                  <c:v>6.8067219078872727E-12</c:v>
                </c:pt>
                <c:pt idx="107">
                  <c:v>6.8067219078872727E-12</c:v>
                </c:pt>
                <c:pt idx="108">
                  <c:v>6.8067219078872727E-12</c:v>
                </c:pt>
                <c:pt idx="109">
                  <c:v>6.8067219078872727E-12</c:v>
                </c:pt>
                <c:pt idx="110">
                  <c:v>6.8067219078872727E-12</c:v>
                </c:pt>
                <c:pt idx="111">
                  <c:v>6.8067219078872727E-12</c:v>
                </c:pt>
                <c:pt idx="112">
                  <c:v>6.8067219078872727E-12</c:v>
                </c:pt>
                <c:pt idx="113">
                  <c:v>6.8067219078872727E-12</c:v>
                </c:pt>
                <c:pt idx="114">
                  <c:v>6.8067219078872727E-12</c:v>
                </c:pt>
                <c:pt idx="115">
                  <c:v>6.8067219078872727E-12</c:v>
                </c:pt>
                <c:pt idx="116">
                  <c:v>6.8067219078872727E-12</c:v>
                </c:pt>
                <c:pt idx="117">
                  <c:v>6.8067219078872727E-12</c:v>
                </c:pt>
                <c:pt idx="118">
                  <c:v>6.8067219078872727E-12</c:v>
                </c:pt>
                <c:pt idx="119">
                  <c:v>6.8067219078872727E-12</c:v>
                </c:pt>
                <c:pt idx="120">
                  <c:v>6.8067219078872727E-12</c:v>
                </c:pt>
                <c:pt idx="121">
                  <c:v>6.8067219078872727E-12</c:v>
                </c:pt>
                <c:pt idx="122">
                  <c:v>6.8067219078872727E-12</c:v>
                </c:pt>
                <c:pt idx="123">
                  <c:v>6.8067219078872727E-12</c:v>
                </c:pt>
                <c:pt idx="124">
                  <c:v>6.8067219078872727E-12</c:v>
                </c:pt>
                <c:pt idx="125">
                  <c:v>6.8067219078872727E-12</c:v>
                </c:pt>
                <c:pt idx="126">
                  <c:v>6.8067219078872727E-12</c:v>
                </c:pt>
                <c:pt idx="127">
                  <c:v>6.8067219078872727E-12</c:v>
                </c:pt>
                <c:pt idx="128">
                  <c:v>6.8067219078872727E-12</c:v>
                </c:pt>
                <c:pt idx="129">
                  <c:v>6.8067219078872727E-12</c:v>
                </c:pt>
                <c:pt idx="130">
                  <c:v>6.8067219078872727E-12</c:v>
                </c:pt>
                <c:pt idx="131">
                  <c:v>6.8067219078872727E-12</c:v>
                </c:pt>
                <c:pt idx="132">
                  <c:v>6.8067219078872727E-12</c:v>
                </c:pt>
                <c:pt idx="133">
                  <c:v>6.8067219078872727E-12</c:v>
                </c:pt>
                <c:pt idx="134">
                  <c:v>6.8067219078872727E-12</c:v>
                </c:pt>
                <c:pt idx="135">
                  <c:v>6.8067219078872727E-12</c:v>
                </c:pt>
                <c:pt idx="136">
                  <c:v>6.8067219078872727E-12</c:v>
                </c:pt>
                <c:pt idx="137">
                  <c:v>6.8067219078872727E-12</c:v>
                </c:pt>
                <c:pt idx="138">
                  <c:v>6.8067219078872727E-12</c:v>
                </c:pt>
                <c:pt idx="139">
                  <c:v>6.8067219078872727E-12</c:v>
                </c:pt>
                <c:pt idx="140">
                  <c:v>6.8067219078872727E-12</c:v>
                </c:pt>
                <c:pt idx="141">
                  <c:v>6.8067219078872727E-12</c:v>
                </c:pt>
                <c:pt idx="142">
                  <c:v>6.8067219078872727E-12</c:v>
                </c:pt>
                <c:pt idx="143">
                  <c:v>6.8067219078872727E-12</c:v>
                </c:pt>
                <c:pt idx="144">
                  <c:v>6.8067219078872727E-12</c:v>
                </c:pt>
                <c:pt idx="145">
                  <c:v>6.8067219078872727E-12</c:v>
                </c:pt>
                <c:pt idx="146">
                  <c:v>6.8067219078872727E-12</c:v>
                </c:pt>
                <c:pt idx="147">
                  <c:v>6.8067219078872727E-12</c:v>
                </c:pt>
                <c:pt idx="148">
                  <c:v>6.8067219078872727E-12</c:v>
                </c:pt>
                <c:pt idx="149">
                  <c:v>6.8067219078872727E-12</c:v>
                </c:pt>
                <c:pt idx="150">
                  <c:v>6.8067219078872727E-12</c:v>
                </c:pt>
                <c:pt idx="151">
                  <c:v>6.8067219078872727E-12</c:v>
                </c:pt>
                <c:pt idx="152">
                  <c:v>6.8067219078872727E-12</c:v>
                </c:pt>
                <c:pt idx="153">
                  <c:v>6.8067219078872727E-12</c:v>
                </c:pt>
                <c:pt idx="154">
                  <c:v>6.8067219078872727E-12</c:v>
                </c:pt>
                <c:pt idx="155">
                  <c:v>6.8067219078872727E-12</c:v>
                </c:pt>
                <c:pt idx="156">
                  <c:v>6.8067219078872727E-12</c:v>
                </c:pt>
                <c:pt idx="157">
                  <c:v>6.8067219078872727E-12</c:v>
                </c:pt>
                <c:pt idx="158">
                  <c:v>6.8067219078872727E-12</c:v>
                </c:pt>
                <c:pt idx="159">
                  <c:v>6.8067219078872727E-12</c:v>
                </c:pt>
                <c:pt idx="160">
                  <c:v>6.8067219078872727E-12</c:v>
                </c:pt>
                <c:pt idx="161">
                  <c:v>6.8067219078872727E-12</c:v>
                </c:pt>
                <c:pt idx="162">
                  <c:v>6.8067219078872727E-12</c:v>
                </c:pt>
                <c:pt idx="163">
                  <c:v>6.8067219078872727E-12</c:v>
                </c:pt>
                <c:pt idx="164">
                  <c:v>6.8067219078872727E-12</c:v>
                </c:pt>
                <c:pt idx="165">
                  <c:v>6.8067219078872727E-12</c:v>
                </c:pt>
                <c:pt idx="166">
                  <c:v>6.8067219078872727E-12</c:v>
                </c:pt>
                <c:pt idx="167">
                  <c:v>6.8067219078872727E-12</c:v>
                </c:pt>
                <c:pt idx="168">
                  <c:v>6.8067219078872727E-12</c:v>
                </c:pt>
                <c:pt idx="169">
                  <c:v>6.8067219078872727E-12</c:v>
                </c:pt>
                <c:pt idx="170">
                  <c:v>6.8067219078872727E-12</c:v>
                </c:pt>
                <c:pt idx="171">
                  <c:v>6.8067219078872727E-12</c:v>
                </c:pt>
                <c:pt idx="172">
                  <c:v>6.8067219078872727E-12</c:v>
                </c:pt>
                <c:pt idx="173">
                  <c:v>6.8067219078872727E-12</c:v>
                </c:pt>
                <c:pt idx="174">
                  <c:v>6.8067219078872727E-12</c:v>
                </c:pt>
                <c:pt idx="175">
                  <c:v>6.8067219078872727E-12</c:v>
                </c:pt>
                <c:pt idx="176">
                  <c:v>6.8067219078872727E-12</c:v>
                </c:pt>
                <c:pt idx="177">
                  <c:v>6.8067219078872727E-12</c:v>
                </c:pt>
                <c:pt idx="178">
                  <c:v>6.8067219078872727E-12</c:v>
                </c:pt>
                <c:pt idx="179">
                  <c:v>6.8067219078872727E-12</c:v>
                </c:pt>
                <c:pt idx="180">
                  <c:v>6.8067219078872727E-12</c:v>
                </c:pt>
                <c:pt idx="181">
                  <c:v>6.8067219078872727E-12</c:v>
                </c:pt>
                <c:pt idx="182">
                  <c:v>6.8067219078872727E-12</c:v>
                </c:pt>
                <c:pt idx="183">
                  <c:v>6.8067219078872727E-12</c:v>
                </c:pt>
                <c:pt idx="184">
                  <c:v>6.8067219078872727E-12</c:v>
                </c:pt>
                <c:pt idx="185">
                  <c:v>6.8067219078872727E-12</c:v>
                </c:pt>
                <c:pt idx="186">
                  <c:v>6.8067219078872727E-12</c:v>
                </c:pt>
                <c:pt idx="187">
                  <c:v>6.8067219078872727E-12</c:v>
                </c:pt>
                <c:pt idx="188">
                  <c:v>6.8067219078872727E-12</c:v>
                </c:pt>
                <c:pt idx="189">
                  <c:v>6.8067219078872727E-12</c:v>
                </c:pt>
                <c:pt idx="190">
                  <c:v>6.8067219078872727E-12</c:v>
                </c:pt>
                <c:pt idx="191">
                  <c:v>6.8067219078872727E-12</c:v>
                </c:pt>
                <c:pt idx="192">
                  <c:v>6.8067219078872727E-12</c:v>
                </c:pt>
                <c:pt idx="193">
                  <c:v>6.8067219078872727E-12</c:v>
                </c:pt>
                <c:pt idx="194">
                  <c:v>6.8067219078872727E-12</c:v>
                </c:pt>
                <c:pt idx="195">
                  <c:v>6.8067219078872727E-12</c:v>
                </c:pt>
                <c:pt idx="196">
                  <c:v>6.8067219078872727E-12</c:v>
                </c:pt>
                <c:pt idx="197">
                  <c:v>6.8067219078872727E-12</c:v>
                </c:pt>
                <c:pt idx="198">
                  <c:v>6.8067219078872727E-12</c:v>
                </c:pt>
                <c:pt idx="199">
                  <c:v>6.8067219078872727E-12</c:v>
                </c:pt>
                <c:pt idx="200">
                  <c:v>6.8067219078872727E-12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2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2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2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2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2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2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2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2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2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2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2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2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2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2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2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2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2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2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>
    <pageSetUpPr fitToPage="1"/>
  </sheetPr>
  <dimension ref="A1:AS427"/>
  <sheetViews>
    <sheetView tabSelected="1" topLeftCell="A24" zoomScale="80" zoomScaleNormal="80" workbookViewId="0">
      <selection activeCell="K32" sqref="K32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62" t="s">
        <v>190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68" t="s">
        <v>231</v>
      </c>
      <c r="B5" s="268"/>
      <c r="C5" s="24">
        <v>12.798500000000001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36</v>
      </c>
      <c r="C9" s="32">
        <v>1</v>
      </c>
      <c r="D9" s="33">
        <f t="shared" ref="D9:D18" si="0">C9*$C$5</f>
        <v>12.798500000000001</v>
      </c>
      <c r="E9" s="34">
        <v>62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/>
      <c r="C10" s="32"/>
      <c r="D10" s="33">
        <f t="shared" si="0"/>
        <v>0</v>
      </c>
      <c r="E10" s="34"/>
      <c r="F10" s="35" t="str">
        <f t="array" ref="F10">IF(E10="","",IF(INDEX(A:A,MAX(IF(ISNUMBER($A$62:$A$81),ROW($A$62:$A$81),"")))&lt;&gt;E10,"Corrigez : révolution incorrecte","OK"))</f>
        <v/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175</v>
      </c>
      <c r="C19" s="37">
        <f>SUM(C9:C18)</f>
        <v>1</v>
      </c>
      <c r="D19" s="38">
        <f>SUM(D9:D18)</f>
        <v>12.798500000000001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0.2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0.15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Pin maritime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12</v>
      </c>
      <c r="B36" s="60">
        <v>46.2</v>
      </c>
      <c r="C36" s="60">
        <v>1</v>
      </c>
      <c r="D36" s="60">
        <v>0</v>
      </c>
      <c r="E36" s="51"/>
      <c r="F36" s="51"/>
      <c r="G36" s="51"/>
      <c r="H36" s="51"/>
      <c r="I36" s="49">
        <f>IFERROR(B36/A36,"")</f>
        <v>3.85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16</v>
      </c>
      <c r="B37" s="60">
        <v>107.5</v>
      </c>
      <c r="C37" s="60">
        <v>2</v>
      </c>
      <c r="D37" s="60">
        <v>25</v>
      </c>
      <c r="E37" s="51"/>
      <c r="F37" s="51"/>
      <c r="G37" s="51">
        <v>0.5</v>
      </c>
      <c r="H37" s="51">
        <v>0.5</v>
      </c>
      <c r="I37" s="53">
        <f t="shared" ref="I37:I55" si="1">IF(A37&lt;&gt;0,(B37-(B36-D36))/(A37-A36),"")</f>
        <v>15.324999999999999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20</v>
      </c>
      <c r="B38" s="60">
        <f>176.3-SUM(D36:D37)</f>
        <v>151.30000000000001</v>
      </c>
      <c r="C38" s="60">
        <v>3</v>
      </c>
      <c r="D38" s="60">
        <v>33.700000000000003</v>
      </c>
      <c r="E38" s="51">
        <v>0.2</v>
      </c>
      <c r="F38" s="51"/>
      <c r="G38" s="51">
        <v>0.6</v>
      </c>
      <c r="H38" s="51">
        <v>0.2</v>
      </c>
      <c r="I38" s="53">
        <f t="shared" si="1"/>
        <v>17.200000000000003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>
        <v>24</v>
      </c>
      <c r="B39" s="60">
        <f>255.9-SUM(D36:D38)</f>
        <v>197.2</v>
      </c>
      <c r="C39" s="60">
        <v>4</v>
      </c>
      <c r="D39" s="60">
        <v>42.9</v>
      </c>
      <c r="E39" s="51">
        <v>0.3</v>
      </c>
      <c r="F39" s="51"/>
      <c r="G39" s="51">
        <v>0.5</v>
      </c>
      <c r="H39" s="51">
        <v>0.2</v>
      </c>
      <c r="I39" s="49">
        <f t="shared" si="1"/>
        <v>19.899999999999995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>
        <v>28</v>
      </c>
      <c r="B40" s="60">
        <f>335.4-SUM(D36:D39)</f>
        <v>233.79999999999998</v>
      </c>
      <c r="C40" s="60">
        <v>5</v>
      </c>
      <c r="D40" s="60">
        <v>41.4</v>
      </c>
      <c r="E40" s="51">
        <v>0.5</v>
      </c>
      <c r="F40" s="51"/>
      <c r="G40" s="51">
        <v>0.4</v>
      </c>
      <c r="H40" s="51">
        <v>0.1</v>
      </c>
      <c r="I40" s="49">
        <f t="shared" si="1"/>
        <v>19.875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>
        <v>34</v>
      </c>
      <c r="B41" s="60">
        <f>447.6-SUM(D36:D40)</f>
        <v>304.60000000000002</v>
      </c>
      <c r="C41" s="60">
        <v>6</v>
      </c>
      <c r="D41" s="60">
        <v>59.9</v>
      </c>
      <c r="E41" s="51">
        <v>0.7</v>
      </c>
      <c r="F41" s="51"/>
      <c r="G41" s="51">
        <v>0.2</v>
      </c>
      <c r="H41" s="51">
        <v>0.1</v>
      </c>
      <c r="I41" s="53">
        <f t="shared" si="1"/>
        <v>18.700000000000006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>
        <v>40</v>
      </c>
      <c r="B42" s="60">
        <f>536.7-SUM(D36:D41)</f>
        <v>333.80000000000007</v>
      </c>
      <c r="C42" s="60">
        <v>7</v>
      </c>
      <c r="D42" s="60">
        <v>34.1</v>
      </c>
      <c r="E42" s="51"/>
      <c r="F42" s="51"/>
      <c r="G42" s="51"/>
      <c r="H42" s="51"/>
      <c r="I42" s="53">
        <f t="shared" si="1"/>
        <v>14.850000000000009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>
        <v>46</v>
      </c>
      <c r="B43" s="60">
        <f>603-SUM(D36:D42)</f>
        <v>366</v>
      </c>
      <c r="C43" s="60">
        <v>8</v>
      </c>
      <c r="D43" s="60">
        <v>21.3</v>
      </c>
      <c r="E43" s="51"/>
      <c r="F43" s="51"/>
      <c r="G43" s="51"/>
      <c r="H43" s="51"/>
      <c r="I43" s="49">
        <f t="shared" si="1"/>
        <v>11.049999999999992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>
        <v>54</v>
      </c>
      <c r="B44" s="60">
        <f>661.4-SUM(D36:D43)</f>
        <v>403.09999999999997</v>
      </c>
      <c r="C44" s="60">
        <v>9</v>
      </c>
      <c r="D44" s="60">
        <v>17.399999999999999</v>
      </c>
      <c r="E44" s="51"/>
      <c r="F44" s="51"/>
      <c r="G44" s="51"/>
      <c r="H44" s="51"/>
      <c r="I44" s="49">
        <f t="shared" si="1"/>
        <v>7.2999999999999972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>
        <v>62</v>
      </c>
      <c r="B45" s="60">
        <f>685.7-SUM(D36:D44)</f>
        <v>410.00000000000006</v>
      </c>
      <c r="C45" s="60">
        <v>10</v>
      </c>
      <c r="D45" s="60">
        <f>B45</f>
        <v>410.00000000000006</v>
      </c>
      <c r="E45" s="51"/>
      <c r="F45" s="51"/>
      <c r="G45" s="51"/>
      <c r="H45" s="51"/>
      <c r="I45" s="49">
        <f t="shared" si="1"/>
        <v>3.0375000000000085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/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/>
      <c r="B62" s="60"/>
      <c r="C62" s="60"/>
      <c r="D62" s="60"/>
      <c r="E62" s="51"/>
      <c r="F62" s="51"/>
      <c r="G62" s="51"/>
      <c r="H62" s="51"/>
      <c r="I62" s="53" t="str">
        <f>IFERROR(B62/A62,"")</f>
        <v/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/>
      <c r="B63" s="60"/>
      <c r="C63" s="60"/>
      <c r="D63" s="60"/>
      <c r="E63" s="51"/>
      <c r="F63" s="51"/>
      <c r="G63" s="51"/>
      <c r="H63" s="51"/>
      <c r="I63" s="49" t="str">
        <f>IF(A63&lt;&gt;0,(B63-(B62-D62))/(A63-A62),"")</f>
        <v/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/>
      <c r="B64" s="60"/>
      <c r="C64" s="60"/>
      <c r="D64" s="60"/>
      <c r="E64" s="51"/>
      <c r="F64" s="51"/>
      <c r="G64" s="51"/>
      <c r="H64" s="51"/>
      <c r="I64" s="49" t="str">
        <f>IF(A64&lt;&gt;0,(B64-(B63-D63))/(A64-A63),"")</f>
        <v/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/>
      <c r="B65" s="60"/>
      <c r="C65" s="60"/>
      <c r="D65" s="60"/>
      <c r="E65" s="51"/>
      <c r="F65" s="51"/>
      <c r="G65" s="51"/>
      <c r="H65" s="51"/>
      <c r="I65" s="49" t="str">
        <f>IF(A65&lt;&gt;0,(B65-(B64-D64))/(A65-A64),"")</f>
        <v/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/>
      <c r="B66" s="60"/>
      <c r="C66" s="60"/>
      <c r="D66" s="60"/>
      <c r="E66" s="51"/>
      <c r="F66" s="51"/>
      <c r="G66" s="51"/>
      <c r="H66" s="51"/>
      <c r="I66" s="49" t="str">
        <f t="shared" ref="I66:I81" si="2">IF(A66&lt;&gt;0,(B66-(B65-D65))/(A66-A65),"")</f>
        <v/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/>
      <c r="B67" s="60"/>
      <c r="C67" s="60"/>
      <c r="D67" s="60"/>
      <c r="E67" s="51"/>
      <c r="F67" s="51"/>
      <c r="G67" s="51"/>
      <c r="H67" s="51"/>
      <c r="I67" s="49" t="str">
        <f t="shared" si="2"/>
        <v/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/>
      <c r="B68" s="60"/>
      <c r="C68" s="60"/>
      <c r="D68" s="60"/>
      <c r="E68" s="51"/>
      <c r="F68" s="51"/>
      <c r="G68" s="51"/>
      <c r="H68" s="51"/>
      <c r="I68" s="49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/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scale="33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>
    <pageSetUpPr fitToPage="1"/>
  </sheetPr>
  <dimension ref="A1:AL163"/>
  <sheetViews>
    <sheetView zoomScaleNormal="100" workbookViewId="0">
      <selection activeCell="C28" sqref="C28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scale="7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5703125" style="4" customWidth="1"/>
    <col min="6" max="7" width="11.42578125" style="4"/>
    <col min="8" max="8" width="10.7109375" style="4" customWidth="1"/>
    <col min="9" max="9" width="9.42578125" style="4" customWidth="1"/>
    <col min="10" max="11" width="10.5703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5703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5703125" style="4" bestFit="1" customWidth="1"/>
    <col min="36" max="36" width="9.42578125" style="4" bestFit="1" customWidth="1"/>
    <col min="37" max="38" width="10.5703125" style="4" bestFit="1" customWidth="1"/>
    <col min="39" max="41" width="10.5703125" style="4" customWidth="1"/>
    <col min="42" max="42" width="9" style="4" bestFit="1" customWidth="1"/>
    <col min="43" max="43" width="10.5703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5703125" style="4" bestFit="1" customWidth="1"/>
    <col min="54" max="54" width="14.28515625" style="4" customWidth="1"/>
    <col min="55" max="55" width="14" style="4" customWidth="1"/>
    <col min="56" max="56" width="10.5703125" style="4" bestFit="1" customWidth="1"/>
    <col min="57" max="57" width="9.42578125" style="4" bestFit="1" customWidth="1"/>
    <col min="58" max="59" width="10.5703125" style="4" bestFit="1" customWidth="1"/>
    <col min="60" max="62" width="10.5703125" style="4" customWidth="1"/>
    <col min="63" max="63" width="9" style="4" bestFit="1" customWidth="1"/>
    <col min="64" max="64" width="10.5703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5703125" style="4" bestFit="1" customWidth="1"/>
    <col min="75" max="75" width="14" style="4" bestFit="1" customWidth="1"/>
    <col min="76" max="76" width="13.85546875" style="4" customWidth="1"/>
    <col min="77" max="77" width="10.5703125" style="4" bestFit="1" customWidth="1"/>
    <col min="78" max="78" width="9.42578125" style="4" bestFit="1" customWidth="1"/>
    <col min="79" max="80" width="10.5703125" style="4" bestFit="1" customWidth="1"/>
    <col min="81" max="83" width="10.5703125" style="4" customWidth="1"/>
    <col min="84" max="84" width="11.42578125" style="4"/>
    <col min="85" max="85" width="10.5703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5703125" style="4" bestFit="1" customWidth="1"/>
    <col min="99" max="99" width="9.42578125" style="4" bestFit="1" customWidth="1"/>
    <col min="100" max="101" width="10.5703125" style="4" bestFit="1" customWidth="1"/>
    <col min="102" max="104" width="10.5703125" style="4" customWidth="1"/>
    <col min="105" max="105" width="9" style="4" bestFit="1" customWidth="1"/>
    <col min="106" max="106" width="10.5703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5703125" style="4" bestFit="1" customWidth="1"/>
    <col min="117" max="117" width="14.28515625" style="4" customWidth="1"/>
    <col min="118" max="118" width="14" style="4" bestFit="1" customWidth="1"/>
    <col min="119" max="119" width="10.5703125" style="4" bestFit="1" customWidth="1"/>
    <col min="120" max="120" width="9.42578125" style="4" bestFit="1" customWidth="1"/>
    <col min="121" max="122" width="10.5703125" style="4" bestFit="1" customWidth="1"/>
    <col min="123" max="125" width="10.5703125" style="4" customWidth="1"/>
    <col min="126" max="126" width="9" style="4" bestFit="1" customWidth="1"/>
    <col min="127" max="127" width="10.5703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5703125" style="4" bestFit="1" customWidth="1"/>
    <col min="138" max="139" width="14" style="4" customWidth="1"/>
    <col min="140" max="140" width="10.5703125" style="4" bestFit="1" customWidth="1"/>
    <col min="141" max="141" width="9.42578125" style="4" bestFit="1" customWidth="1"/>
    <col min="142" max="143" width="10.5703125" style="4" bestFit="1" customWidth="1"/>
    <col min="144" max="146" width="10.5703125" style="4" customWidth="1"/>
    <col min="147" max="147" width="9" style="4" bestFit="1" customWidth="1"/>
    <col min="148" max="148" width="10.5703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5703125" style="4" bestFit="1" customWidth="1"/>
    <col min="162" max="162" width="9.42578125" style="4" bestFit="1" customWidth="1"/>
    <col min="163" max="164" width="10.5703125" style="4" bestFit="1" customWidth="1"/>
    <col min="165" max="167" width="10.5703125" style="4" customWidth="1"/>
    <col min="168" max="168" width="9" style="4" bestFit="1" customWidth="1"/>
    <col min="169" max="169" width="10.5703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5703125" style="4" bestFit="1" customWidth="1"/>
    <col min="180" max="181" width="14" style="4" bestFit="1" customWidth="1"/>
    <col min="182" max="182" width="10.5703125" style="4" bestFit="1" customWidth="1"/>
    <col min="183" max="183" width="9.42578125" style="4" bestFit="1" customWidth="1"/>
    <col min="184" max="185" width="10.5703125" style="4" bestFit="1" customWidth="1"/>
    <col min="186" max="188" width="10.5703125" style="4" customWidth="1"/>
    <col min="189" max="189" width="9" style="4" bestFit="1" customWidth="1"/>
    <col min="190" max="190" width="10.5703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5703125" style="4" bestFit="1" customWidth="1"/>
    <col min="201" max="201" width="14" style="4" customWidth="1"/>
    <col min="202" max="202" width="14.28515625" style="4" customWidth="1"/>
    <col min="203" max="203" width="10.5703125" style="4" bestFit="1" customWidth="1"/>
    <col min="204" max="204" width="9.42578125" style="4" bestFit="1" customWidth="1"/>
    <col min="205" max="206" width="10.5703125" style="4" bestFit="1" customWidth="1"/>
    <col min="207" max="209" width="10.5703125" style="4" customWidth="1"/>
    <col min="210" max="210" width="9" style="4" bestFit="1" customWidth="1"/>
    <col min="211" max="211" width="10.5703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Pin maritime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/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/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75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252.28378247570731</v>
      </c>
      <c r="T3" s="59">
        <f>IF('Données projet'!E9&gt;30,$R$33-$H$33,LOOKUP('Données projet'!$E$9,$A$3:$A$203,R3:R203)-LOOKUP('Données projet'!$E$9,$A$3:$A$203,$H$3:$H$203))</f>
        <v>263.50418595307343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 t="e">
        <f>AI3*VLOOKUP('Données projet'!$B$10,Paramètres!$A$1:$I$89,3,0)*VLOOKUP('Données projet'!$B$10,Paramètres!$A$1:$I$89,5,0)</f>
        <v>#N/A</v>
      </c>
      <c r="AK3" s="12">
        <v>0</v>
      </c>
      <c r="AL3" s="14" t="e">
        <f>(AJ3+AK3)*0.475*44/12</f>
        <v>#N/A</v>
      </c>
      <c r="AM3" s="59" t="e">
        <f>AL3+(AD3+AE3)*44/12</f>
        <v>#N/A</v>
      </c>
      <c r="AN3" s="59" t="e">
        <f ca="1">AVERAGE(OFFSET($AM$3,0,0,'Données projet'!$E$10+1,1))-AVERAGE(OFFSET($H$3,0,0,'Données projet'!$E$10+1,1))</f>
        <v>#N/A</v>
      </c>
      <c r="AO3" s="59" t="e">
        <f>IF('Données projet'!E10&gt;30,$AM$33-$H$33,LOOKUP('Données projet'!$E$10,$A$3:$A$203,AM3:AM203)-LOOKUP('Données projet'!$E$10,$A$3:$A$203,$H$3:$H$203))</f>
        <v>#N/A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1">
        <f>IFERROR(EXP(-1.0587+0.8836*LN(C4)+0.284),0)</f>
        <v>0.26998241883213048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7">
        <f t="shared" ref="H4:H67" si="1">(B4+E4+F4)*44/12+(C4+D4)*0.475*44/12</f>
        <v>294.75450271279925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3.85</v>
      </c>
      <c r="N4" s="13">
        <f>IF('Données projet'!$A$36&gt;35,N3+M4-V3,IF(A4&lt;'Données projet'!$A$36,$K$205^A4,IF(A4='Données projet'!$A$36,'Données projet'!$B$36,N3+M4-V3)))</f>
        <v>1.3763223570336161</v>
      </c>
      <c r="O4" s="13">
        <f>N4*VLOOKUP('Données projet'!$B$9,Paramètres!$A$1:$I$89,3,0)*VLOOKUP('Données projet'!$B$9,Paramètres!$A$1:$I$89,5,0)</f>
        <v>0.82304076950610239</v>
      </c>
      <c r="P4" s="13">
        <f>EXP(-1.0587+0.8836*LN(O4)+0.284)</f>
        <v>0.38798806692284393</v>
      </c>
      <c r="Q4" s="20">
        <f t="shared" ref="Q4:Q34" si="2">(O4+P4)*0.475*44/12</f>
        <v>2.1092085567804149</v>
      </c>
      <c r="R4" s="59">
        <f t="shared" si="0"/>
        <v>295.44254189011372</v>
      </c>
      <c r="S4" s="59">
        <f ca="1">AVERAGE(OFFSET($R$3,0,0,'Données projet'!$E$9+1,1))-AVERAGE(OFFSET($H$3,0,0,'Données projet'!$E$9+1,1))</f>
        <v>252.28378247570731</v>
      </c>
      <c r="T4" s="59">
        <f>$T$3</f>
        <v>263.50418595307343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0</v>
      </c>
      <c r="AI4" s="13">
        <f>IF('Données projet'!$A$62&gt;35,AI3+AH4-AQ3,IF(A4&lt;'Données projet'!$A$62,$AF$205^A4,IF(A4='Données projet'!$A$62,'Données projet'!$B$62,AI3+AH4-AQ3)))</f>
        <v>0</v>
      </c>
      <c r="AJ4" s="13" t="e">
        <f>AI4*VLOOKUP('Données projet'!$B$10,Paramètres!$A$1:$I$89,3,0)*VLOOKUP('Données projet'!$B$10,Paramètres!$A$1:$I$89,5,0)</f>
        <v>#N/A</v>
      </c>
      <c r="AK4" s="13" t="e">
        <f>EXP(-1.0587+0.8836*LN(AJ4)+0.284)</f>
        <v>#N/A</v>
      </c>
      <c r="AL4" s="20" t="e">
        <f t="shared" ref="AL4:AL67" si="4">(AJ4+AK4)*0.475*44/12</f>
        <v>#N/A</v>
      </c>
      <c r="AM4" s="59" t="e">
        <f t="shared" ref="AM4:AM67" si="5">AL4+(AD4+AE4)*44/12</f>
        <v>#N/A</v>
      </c>
      <c r="AN4" s="59" t="e">
        <f ca="1">AVERAGE(OFFSET($AM$3,0,0,'Données projet'!$E$10+1,1))-AVERAGE(OFFSET($H$3,0,0,'Données projet'!$E$10+1,1))</f>
        <v>#N/A</v>
      </c>
      <c r="AO4" s="59" t="e">
        <f>$AO$3</f>
        <v>#N/A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 t="e">
        <f>EXP(-LN(2)/35)*AU3+(1-EXP(-LN(2)/35))/(LN(2)/35)*AQ4*AR4*VLOOKUP('Données projet'!$B$10,Paramètres!$A$1:$I$89,3,0)*0.475*44/12</f>
        <v>#N/A</v>
      </c>
      <c r="AV4" s="21" t="e">
        <f>EXP(-LN(2)/25)*AV3+(1-EXP(-LN(2)/25))/(LN(2)/25)*Calculateur!AQ4*Calculateur!AS4*VLOOKUP('Données projet'!$B$10,Paramètres!$A$1:$I$89,3,0)*0.475*44/12</f>
        <v>#N/A</v>
      </c>
      <c r="AW4" s="21" t="e">
        <f>EXP(-LN(2)/2)*AW3+(1-EXP(-LN(2)/2))/(LN(2)/2)*AQ4*AT4*VLOOKUP('Données projet'!$B$10,Paramètres!$A$1:$I$89,3,0)*0.475*44/12</f>
        <v>#N/A</v>
      </c>
      <c r="AX4" s="21" t="e">
        <f t="shared" ref="AX4:AX67" si="6">SUM(AU4:AW4)</f>
        <v>#N/A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1">
        <f t="shared" ref="D5:D68" si="32">IFERROR(EXP(-1.0587+0.8836*LN(C5)+0.284),0)</f>
        <v>0.49811037558348636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7">
        <f t="shared" si="1"/>
        <v>296.10277557080786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3.85</v>
      </c>
      <c r="N5" s="13">
        <f>IF('Données projet'!$A$36&gt;35,N4+M5-V4,IF(A5&lt;'Données projet'!$A$36,$K$205^A5,IF(A5='Données projet'!$A$36,'Données projet'!$B$36,N4+M5-V4)))</f>
        <v>1.8942632304705684</v>
      </c>
      <c r="O5" s="13">
        <f>N5*VLOOKUP('Données projet'!$B$9,Paramètres!$A$1:$I$89,3,0)*VLOOKUP('Données projet'!$B$9,Paramètres!$A$1:$I$89,5,0)</f>
        <v>1.1327694118214</v>
      </c>
      <c r="P5" s="13">
        <f t="shared" ref="P5:P68" si="33">EXP(-1.0587+0.8836*LN(O5)+0.284)</f>
        <v>0.51450725843982192</v>
      </c>
      <c r="Q5" s="20">
        <f t="shared" si="2"/>
        <v>2.8690068673716276</v>
      </c>
      <c r="R5" s="59">
        <f t="shared" si="0"/>
        <v>296.20234020070495</v>
      </c>
      <c r="S5" s="59">
        <f ca="1">AVERAGE(OFFSET($R$3,0,0,'Données projet'!$E$9+1,1))-AVERAGE(OFFSET($H$3,0,0,'Données projet'!$E$9+1,1))</f>
        <v>252.28378247570731</v>
      </c>
      <c r="T5" s="59">
        <f t="shared" ref="T5:T68" si="34">$T$3</f>
        <v>263.50418595307343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0</v>
      </c>
      <c r="AI5" s="13">
        <f>IF('Données projet'!$A$62&gt;35,AI4+AH5-AQ4,IF(A5&lt;'Données projet'!$A$62,$AF$205^A5,IF(A5='Données projet'!$A$62,'Données projet'!$B$62,AI4+AH5-AQ4)))</f>
        <v>0</v>
      </c>
      <c r="AJ5" s="13" t="e">
        <f>AI5*VLOOKUP('Données projet'!$B$10,Paramètres!$A$1:$I$89,3,0)*VLOOKUP('Données projet'!$B$10,Paramètres!$A$1:$I$89,5,0)</f>
        <v>#N/A</v>
      </c>
      <c r="AK5" s="13" t="e">
        <f t="shared" ref="AK5:AK68" si="35">EXP(-1.0587+0.8836*LN(AJ5)+0.284)</f>
        <v>#N/A</v>
      </c>
      <c r="AL5" s="20" t="e">
        <f t="shared" si="4"/>
        <v>#N/A</v>
      </c>
      <c r="AM5" s="59" t="e">
        <f t="shared" si="5"/>
        <v>#N/A</v>
      </c>
      <c r="AN5" s="59" t="e">
        <f ca="1">AVERAGE(OFFSET($AM$3,0,0,'Données projet'!$E$10+1,1))-AVERAGE(OFFSET($H$3,0,0,'Données projet'!$E$10+1,1))</f>
        <v>#N/A</v>
      </c>
      <c r="AO5" s="59" t="e">
        <f t="shared" ref="AO5:AO68" si="36">$AO$3</f>
        <v>#N/A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 t="e">
        <f>EXP(-LN(2)/35)*AU4+(1-EXP(-LN(2)/35))/(LN(2)/35)*AQ5*AR5*VLOOKUP('Données projet'!$B$10,Paramètres!$A$1:$I$89,3,0)*0.475*44/12</f>
        <v>#N/A</v>
      </c>
      <c r="AV5" s="21" t="e">
        <f>EXP(-LN(2)/25)*AV4+(1-EXP(-LN(2)/25))/(LN(2)/25)*Calculateur!AQ5*Calculateur!AS5*VLOOKUP('Données projet'!$B$10,Paramètres!$A$1:$I$89,3,0)*0.475*44/12</f>
        <v>#N/A</v>
      </c>
      <c r="AW5" s="21" t="e">
        <f>EXP(-LN(2)/2)*AW4+(1-EXP(-LN(2)/2))/(LN(2)/2)*AQ5*AT5*VLOOKUP('Données projet'!$B$10,Paramètres!$A$1:$I$89,3,0)*0.475*44/12</f>
        <v>#N/A</v>
      </c>
      <c r="AX5" s="21" t="e">
        <f t="shared" si="6"/>
        <v>#N/A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1">
        <f t="shared" si="32"/>
        <v>0.71272144204532062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7">
        <f t="shared" si="1"/>
        <v>297.42750651156223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3.85</v>
      </c>
      <c r="N6" s="13">
        <f>IF('Données projet'!$A$36&gt;35,N5+M6-V5,IF(A6&lt;'Données projet'!$A$36,$K$205^A6,IF(A6='Données projet'!$A$36,'Données projet'!$B$36,N5+M6-V5)))</f>
        <v>2.6071168342033646</v>
      </c>
      <c r="O6" s="13">
        <f>N6*VLOOKUP('Données projet'!$B$9,Paramètres!$A$1:$I$89,3,0)*VLOOKUP('Données projet'!$B$9,Paramètres!$A$1:$I$89,5,0)</f>
        <v>1.5590558668536121</v>
      </c>
      <c r="P6" s="13">
        <f t="shared" si="33"/>
        <v>0.68228314619764829</v>
      </c>
      <c r="Q6" s="20">
        <f t="shared" si="2"/>
        <v>3.9036654477309445</v>
      </c>
      <c r="R6" s="59">
        <f t="shared" si="0"/>
        <v>297.23699878106424</v>
      </c>
      <c r="S6" s="59">
        <f ca="1">AVERAGE(OFFSET($R$3,0,0,'Données projet'!$E$9+1,1))-AVERAGE(OFFSET($H$3,0,0,'Données projet'!$E$9+1,1))</f>
        <v>252.28378247570731</v>
      </c>
      <c r="T6" s="59">
        <f t="shared" si="34"/>
        <v>263.50418595307343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0</v>
      </c>
      <c r="AI6" s="13">
        <f>IF('Données projet'!$A$62&gt;35,AI5+AH6-AQ5,IF(A6&lt;'Données projet'!$A$62,$AF$205^A6,IF(A6='Données projet'!$A$62,'Données projet'!$B$62,AI5+AH6-AQ5)))</f>
        <v>0</v>
      </c>
      <c r="AJ6" s="13" t="e">
        <f>AI6*VLOOKUP('Données projet'!$B$10,Paramètres!$A$1:$I$89,3,0)*VLOOKUP('Données projet'!$B$10,Paramètres!$A$1:$I$89,5,0)</f>
        <v>#N/A</v>
      </c>
      <c r="AK6" s="13" t="e">
        <f t="shared" si="35"/>
        <v>#N/A</v>
      </c>
      <c r="AL6" s="20" t="e">
        <f t="shared" si="4"/>
        <v>#N/A</v>
      </c>
      <c r="AM6" s="59" t="e">
        <f t="shared" si="5"/>
        <v>#N/A</v>
      </c>
      <c r="AN6" s="59" t="e">
        <f ca="1">AVERAGE(OFFSET($AM$3,0,0,'Données projet'!$E$10+1,1))-AVERAGE(OFFSET($H$3,0,0,'Données projet'!$E$10+1,1))</f>
        <v>#N/A</v>
      </c>
      <c r="AO6" s="59" t="e">
        <f t="shared" si="36"/>
        <v>#N/A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 t="e">
        <f>EXP(-LN(2)/35)*AU5+(1-EXP(-LN(2)/35))/(LN(2)/35)*AQ6*AR6*VLOOKUP('Données projet'!$B$10,Paramètres!$A$1:$I$89,3,0)*0.475*44/12</f>
        <v>#N/A</v>
      </c>
      <c r="AV6" s="21" t="e">
        <f>EXP(-LN(2)/25)*AV5+(1-EXP(-LN(2)/25))/(LN(2)/25)*Calculateur!AQ6*Calculateur!AS6*VLOOKUP('Données projet'!$B$10,Paramètres!$A$1:$I$89,3,0)*0.475*44/12</f>
        <v>#N/A</v>
      </c>
      <c r="AW6" s="21" t="e">
        <f>EXP(-LN(2)/2)*AW5+(1-EXP(-LN(2)/2))/(LN(2)/2)*AQ6*AT6*VLOOKUP('Données projet'!$B$10,Paramètres!$A$1:$I$89,3,0)*0.475*44/12</f>
        <v>#N/A</v>
      </c>
      <c r="AX6" s="21" t="e">
        <f t="shared" si="6"/>
        <v>#N/A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1">
        <f t="shared" si="32"/>
        <v>0.91900038282935004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7">
        <f t="shared" si="1"/>
        <v>298.73772566676109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3.85</v>
      </c>
      <c r="N7" s="13">
        <f>IF('Données projet'!$A$36&gt;35,N6+M7-V6,IF(A7&lt;'Données projet'!$A$36,$K$205^A7,IF(A7='Données projet'!$A$36,'Données projet'!$B$36,N6+M7-V6)))</f>
        <v>3.5882331863127939</v>
      </c>
      <c r="O7" s="13">
        <f>N7*VLOOKUP('Données projet'!$B$9,Paramètres!$A$1:$I$89,3,0)*VLOOKUP('Données projet'!$B$9,Paramètres!$A$1:$I$89,5,0)</f>
        <v>2.1457634454150507</v>
      </c>
      <c r="P7" s="13">
        <f t="shared" si="33"/>
        <v>0.90476914358207983</v>
      </c>
      <c r="Q7" s="20">
        <f t="shared" si="2"/>
        <v>5.3130109258366689</v>
      </c>
      <c r="R7" s="59">
        <f t="shared" si="0"/>
        <v>298.64634425917001</v>
      </c>
      <c r="S7" s="59">
        <f ca="1">AVERAGE(OFFSET($R$3,0,0,'Données projet'!$E$9+1,1))-AVERAGE(OFFSET($H$3,0,0,'Données projet'!$E$9+1,1))</f>
        <v>252.28378247570731</v>
      </c>
      <c r="T7" s="59">
        <f t="shared" si="34"/>
        <v>263.50418595307343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0</v>
      </c>
      <c r="AI7" s="13">
        <f>IF('Données projet'!$A$62&gt;35,AI6+AH7-AQ6,IF(A7&lt;'Données projet'!$A$62,$AF$205^A7,IF(A7='Données projet'!$A$62,'Données projet'!$B$62,AI6+AH7-AQ6)))</f>
        <v>0</v>
      </c>
      <c r="AJ7" s="13" t="e">
        <f>AI7*VLOOKUP('Données projet'!$B$10,Paramètres!$A$1:$I$89,3,0)*VLOOKUP('Données projet'!$B$10,Paramètres!$A$1:$I$89,5,0)</f>
        <v>#N/A</v>
      </c>
      <c r="AK7" s="13" t="e">
        <f t="shared" si="35"/>
        <v>#N/A</v>
      </c>
      <c r="AL7" s="20" t="e">
        <f t="shared" si="4"/>
        <v>#N/A</v>
      </c>
      <c r="AM7" s="59" t="e">
        <f t="shared" si="5"/>
        <v>#N/A</v>
      </c>
      <c r="AN7" s="59" t="e">
        <f ca="1">AVERAGE(OFFSET($AM$3,0,0,'Données projet'!$E$10+1,1))-AVERAGE(OFFSET($H$3,0,0,'Données projet'!$E$10+1,1))</f>
        <v>#N/A</v>
      </c>
      <c r="AO7" s="59" t="e">
        <f t="shared" si="36"/>
        <v>#N/A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 t="e">
        <f>EXP(-LN(2)/35)*AU6+(1-EXP(-LN(2)/35))/(LN(2)/35)*AQ7*AR7*VLOOKUP('Données projet'!$B$10,Paramètres!$A$1:$I$89,3,0)*0.475*44/12</f>
        <v>#N/A</v>
      </c>
      <c r="AV7" s="21" t="e">
        <f>EXP(-LN(2)/25)*AV6+(1-EXP(-LN(2)/25))/(LN(2)/25)*Calculateur!AQ7*Calculateur!AS7*VLOOKUP('Données projet'!$B$10,Paramètres!$A$1:$I$89,3,0)*0.475*44/12</f>
        <v>#N/A</v>
      </c>
      <c r="AW7" s="21" t="e">
        <f>EXP(-LN(2)/2)*AW6+(1-EXP(-LN(2)/2))/(LN(2)/2)*AQ7*AT7*VLOOKUP('Données projet'!$B$10,Paramètres!$A$1:$I$89,3,0)*0.475*44/12</f>
        <v>#N/A</v>
      </c>
      <c r="AX7" s="21" t="e">
        <f t="shared" si="6"/>
        <v>#N/A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1">
        <f t="shared" si="32"/>
        <v>1.1192971032254277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7">
        <f t="shared" si="1"/>
        <v>300.03752578811759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3.85</v>
      </c>
      <c r="N8" s="13">
        <f>IF('Données projet'!$A$36&gt;35,N7+M8-V7,IF(A8&lt;'Données projet'!$A$36,$K$205^A8,IF(A8='Données projet'!$A$36,'Données projet'!$B$36,N7+M8-V7)))</f>
        <v>4.938565556572267</v>
      </c>
      <c r="O8" s="13">
        <f>N8*VLOOKUP('Données projet'!$B$9,Paramètres!$A$1:$I$89,3,0)*VLOOKUP('Données projet'!$B$9,Paramètres!$A$1:$I$89,5,0)</f>
        <v>2.9532622028302162</v>
      </c>
      <c r="P8" s="13">
        <f t="shared" si="33"/>
        <v>1.1998056931939969</v>
      </c>
      <c r="Q8" s="20">
        <f t="shared" si="2"/>
        <v>7.2332599189088382</v>
      </c>
      <c r="R8" s="59">
        <f t="shared" si="0"/>
        <v>300.56659325224217</v>
      </c>
      <c r="S8" s="59">
        <f ca="1">AVERAGE(OFFSET($R$3,0,0,'Données projet'!$E$9+1,1))-AVERAGE(OFFSET($H$3,0,0,'Données projet'!$E$9+1,1))</f>
        <v>252.28378247570731</v>
      </c>
      <c r="T8" s="59">
        <f t="shared" si="34"/>
        <v>263.50418595307343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0</v>
      </c>
      <c r="AI8" s="13">
        <f>IF('Données projet'!$A$62&gt;35,AI7+AH8-AQ7,IF(A8&lt;'Données projet'!$A$62,$AF$205^A8,IF(A8='Données projet'!$A$62,'Données projet'!$B$62,AI7+AH8-AQ7)))</f>
        <v>0</v>
      </c>
      <c r="AJ8" s="13" t="e">
        <f>AI8*VLOOKUP('Données projet'!$B$10,Paramètres!$A$1:$I$89,3,0)*VLOOKUP('Données projet'!$B$10,Paramètres!$A$1:$I$89,5,0)</f>
        <v>#N/A</v>
      </c>
      <c r="AK8" s="13" t="e">
        <f t="shared" si="35"/>
        <v>#N/A</v>
      </c>
      <c r="AL8" s="20" t="e">
        <f t="shared" si="4"/>
        <v>#N/A</v>
      </c>
      <c r="AM8" s="59" t="e">
        <f t="shared" si="5"/>
        <v>#N/A</v>
      </c>
      <c r="AN8" s="59" t="e">
        <f ca="1">AVERAGE(OFFSET($AM$3,0,0,'Données projet'!$E$10+1,1))-AVERAGE(OFFSET($H$3,0,0,'Données projet'!$E$10+1,1))</f>
        <v>#N/A</v>
      </c>
      <c r="AO8" s="59" t="e">
        <f t="shared" si="36"/>
        <v>#N/A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 t="e">
        <f>EXP(-LN(2)/35)*AU7+(1-EXP(-LN(2)/35))/(LN(2)/35)*AQ8*AR8*VLOOKUP('Données projet'!$B$10,Paramètres!$A$1:$I$89,3,0)*0.475*44/12</f>
        <v>#N/A</v>
      </c>
      <c r="AV8" s="21" t="e">
        <f>EXP(-LN(2)/25)*AV7+(1-EXP(-LN(2)/25))/(LN(2)/25)*Calculateur!AQ8*Calculateur!AS8*VLOOKUP('Données projet'!$B$10,Paramètres!$A$1:$I$89,3,0)*0.475*44/12</f>
        <v>#N/A</v>
      </c>
      <c r="AW8" s="21" t="e">
        <f>EXP(-LN(2)/2)*AW7+(1-EXP(-LN(2)/2))/(LN(2)/2)*AQ8*AT8*VLOOKUP('Données projet'!$B$10,Paramètres!$A$1:$I$89,3,0)*0.475*44/12</f>
        <v>#N/A</v>
      </c>
      <c r="AX8" s="21" t="e">
        <f t="shared" si="6"/>
        <v>#N/A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1">
        <f t="shared" si="32"/>
        <v>1.3149520873221716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7">
        <f t="shared" si="1"/>
        <v>301.3292415520861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3.85</v>
      </c>
      <c r="N9" s="13">
        <f>IF('Données projet'!$A$36&gt;35,N8+M9-V8,IF(A9&lt;'Données projet'!$A$36,$K$205^A9,IF(A9='Données projet'!$A$36,'Données projet'!$B$36,N8+M9-V8)))</f>
        <v>6.7970581871865736</v>
      </c>
      <c r="O9" s="13">
        <f>N9*VLOOKUP('Données projet'!$B$9,Paramètres!$A$1:$I$89,3,0)*VLOOKUP('Données projet'!$B$9,Paramètres!$A$1:$I$89,5,0)</f>
        <v>4.0646407959375717</v>
      </c>
      <c r="P9" s="13">
        <f t="shared" si="33"/>
        <v>1.5910508350466677</v>
      </c>
      <c r="Q9" s="20">
        <f t="shared" si="2"/>
        <v>9.8503295906308832</v>
      </c>
      <c r="R9" s="59">
        <f t="shared" si="0"/>
        <v>303.18366292396422</v>
      </c>
      <c r="S9" s="59">
        <f ca="1">AVERAGE(OFFSET($R$3,0,0,'Données projet'!$E$9+1,1))-AVERAGE(OFFSET($H$3,0,0,'Données projet'!$E$9+1,1))</f>
        <v>252.28378247570731</v>
      </c>
      <c r="T9" s="59">
        <f t="shared" si="34"/>
        <v>263.50418595307343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0</v>
      </c>
      <c r="AI9" s="13">
        <f>IF('Données projet'!$A$62&gt;35,AI8+AH9-AQ8,IF(A9&lt;'Données projet'!$A$62,$AF$205^A9,IF(A9='Données projet'!$A$62,'Données projet'!$B$62,AI8+AH9-AQ8)))</f>
        <v>0</v>
      </c>
      <c r="AJ9" s="13" t="e">
        <f>AI9*VLOOKUP('Données projet'!$B$10,Paramètres!$A$1:$I$89,3,0)*VLOOKUP('Données projet'!$B$10,Paramètres!$A$1:$I$89,5,0)</f>
        <v>#N/A</v>
      </c>
      <c r="AK9" s="13" t="e">
        <f t="shared" si="35"/>
        <v>#N/A</v>
      </c>
      <c r="AL9" s="20" t="e">
        <f t="shared" si="4"/>
        <v>#N/A</v>
      </c>
      <c r="AM9" s="59" t="e">
        <f t="shared" si="5"/>
        <v>#N/A</v>
      </c>
      <c r="AN9" s="59" t="e">
        <f ca="1">AVERAGE(OFFSET($AM$3,0,0,'Données projet'!$E$10+1,1))-AVERAGE(OFFSET($H$3,0,0,'Données projet'!$E$10+1,1))</f>
        <v>#N/A</v>
      </c>
      <c r="AO9" s="59" t="e">
        <f t="shared" si="36"/>
        <v>#N/A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 t="e">
        <f>EXP(-LN(2)/35)*AU8+(1-EXP(-LN(2)/35))/(LN(2)/35)*AQ9*AR9*VLOOKUP('Données projet'!$B$10,Paramètres!$A$1:$I$89,3,0)*0.475*44/12</f>
        <v>#N/A</v>
      </c>
      <c r="AV9" s="21" t="e">
        <f>EXP(-LN(2)/25)*AV8+(1-EXP(-LN(2)/25))/(LN(2)/25)*Calculateur!AQ9*Calculateur!AS9*VLOOKUP('Données projet'!$B$10,Paramètres!$A$1:$I$89,3,0)*0.475*44/12</f>
        <v>#N/A</v>
      </c>
      <c r="AW9" s="21" t="e">
        <f>EXP(-LN(2)/2)*AW8+(1-EXP(-LN(2)/2))/(LN(2)/2)*AQ9*AT9*VLOOKUP('Données projet'!$B$10,Paramètres!$A$1:$I$89,3,0)*0.475*44/12</f>
        <v>#N/A</v>
      </c>
      <c r="AX9" s="21" t="e">
        <f t="shared" si="6"/>
        <v>#N/A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1">
        <f t="shared" si="32"/>
        <v>1.5068294933809407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7">
        <f t="shared" si="1"/>
        <v>302.6143780343051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3.85</v>
      </c>
      <c r="N10" s="13">
        <f>IF('Données projet'!$A$36&gt;35,N9+M10-V9,IF(A10&lt;'Données projet'!$A$36,$K$205^A10,IF(A10='Données projet'!$A$36,'Données projet'!$B$36,N9+M10-V9)))</f>
        <v>9.3549431450832632</v>
      </c>
      <c r="O10" s="13">
        <f>N10*VLOOKUP('Données projet'!$B$9,Paramètres!$A$1:$I$89,3,0)*VLOOKUP('Données projet'!$B$9,Paramètres!$A$1:$I$89,5,0)</f>
        <v>5.5942560007597919</v>
      </c>
      <c r="P10" s="13">
        <f t="shared" si="33"/>
        <v>2.1098772693466379</v>
      </c>
      <c r="Q10" s="20">
        <f t="shared" si="2"/>
        <v>13.418032112102033</v>
      </c>
      <c r="R10" s="59">
        <f t="shared" si="0"/>
        <v>306.75136544543534</v>
      </c>
      <c r="S10" s="59">
        <f ca="1">AVERAGE(OFFSET($R$3,0,0,'Données projet'!$E$9+1,1))-AVERAGE(OFFSET($H$3,0,0,'Données projet'!$E$9+1,1))</f>
        <v>252.28378247570731</v>
      </c>
      <c r="T10" s="59">
        <f t="shared" si="34"/>
        <v>263.50418595307343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0</v>
      </c>
      <c r="AI10" s="13">
        <f>IF('Données projet'!$A$62&gt;35,AI9+AH10-AQ9,IF(A10&lt;'Données projet'!$A$62,$AF$205^A10,IF(A10='Données projet'!$A$62,'Données projet'!$B$62,AI9+AH10-AQ9)))</f>
        <v>0</v>
      </c>
      <c r="AJ10" s="13" t="e">
        <f>AI10*VLOOKUP('Données projet'!$B$10,Paramètres!$A$1:$I$89,3,0)*VLOOKUP('Données projet'!$B$10,Paramètres!$A$1:$I$89,5,0)</f>
        <v>#N/A</v>
      </c>
      <c r="AK10" s="13" t="e">
        <f t="shared" si="35"/>
        <v>#N/A</v>
      </c>
      <c r="AL10" s="20" t="e">
        <f t="shared" si="4"/>
        <v>#N/A</v>
      </c>
      <c r="AM10" s="59" t="e">
        <f t="shared" si="5"/>
        <v>#N/A</v>
      </c>
      <c r="AN10" s="59" t="e">
        <f ca="1">AVERAGE(OFFSET($AM$3,0,0,'Données projet'!$E$10+1,1))-AVERAGE(OFFSET($H$3,0,0,'Données projet'!$E$10+1,1))</f>
        <v>#N/A</v>
      </c>
      <c r="AO10" s="59" t="e">
        <f t="shared" si="36"/>
        <v>#N/A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 t="e">
        <f>EXP(-LN(2)/35)*AU9+(1-EXP(-LN(2)/35))/(LN(2)/35)*AQ10*AR10*VLOOKUP('Données projet'!$B$10,Paramètres!$A$1:$I$89,3,0)*0.475*44/12</f>
        <v>#N/A</v>
      </c>
      <c r="AV10" s="21" t="e">
        <f>EXP(-LN(2)/25)*AV9+(1-EXP(-LN(2)/25))/(LN(2)/25)*Calculateur!AQ10*Calculateur!AS10*VLOOKUP('Données projet'!$B$10,Paramètres!$A$1:$I$89,3,0)*0.475*44/12</f>
        <v>#N/A</v>
      </c>
      <c r="AW10" s="21" t="e">
        <f>EXP(-LN(2)/2)*AW9+(1-EXP(-LN(2)/2))/(LN(2)/2)*AQ10*AT10*VLOOKUP('Données projet'!$B$10,Paramètres!$A$1:$I$89,3,0)*0.475*44/12</f>
        <v>#N/A</v>
      </c>
      <c r="AX10" s="21" t="e">
        <f t="shared" si="6"/>
        <v>#N/A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1">
        <f t="shared" si="32"/>
        <v>1.6955312417477209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7">
        <f t="shared" si="1"/>
        <v>303.89398357937728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3.85</v>
      </c>
      <c r="N11" s="13">
        <f>IF('Données projet'!$A$36&gt;35,N10+M11-V10,IF(A11&lt;'Données projet'!$A$36,$K$205^A11,IF(A11='Données projet'!$A$36,'Données projet'!$B$36,N10+M11-V10)))</f>
        <v>12.875417399356465</v>
      </c>
      <c r="O11" s="13">
        <f>N11*VLOOKUP('Données projet'!$B$9,Paramètres!$A$1:$I$89,3,0)*VLOOKUP('Données projet'!$B$9,Paramètres!$A$1:$I$89,5,0)</f>
        <v>7.6994996048151672</v>
      </c>
      <c r="P11" s="13">
        <f t="shared" si="33"/>
        <v>2.7978880332727099</v>
      </c>
      <c r="Q11" s="20">
        <f t="shared" si="2"/>
        <v>18.282950136336385</v>
      </c>
      <c r="R11" s="59">
        <f t="shared" si="0"/>
        <v>311.61628346966972</v>
      </c>
      <c r="S11" s="59">
        <f ca="1">AVERAGE(OFFSET($R$3,0,0,'Données projet'!$E$9+1,1))-AVERAGE(OFFSET($H$3,0,0,'Données projet'!$E$9+1,1))</f>
        <v>252.28378247570731</v>
      </c>
      <c r="T11" s="59">
        <f t="shared" si="34"/>
        <v>263.50418595307343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0</v>
      </c>
      <c r="AI11" s="13">
        <f>IF('Données projet'!$A$62&gt;35,AI10+AH11-AQ10,IF(A11&lt;'Données projet'!$A$62,$AF$205^A11,IF(A11='Données projet'!$A$62,'Données projet'!$B$62,AI10+AH11-AQ10)))</f>
        <v>0</v>
      </c>
      <c r="AJ11" s="13" t="e">
        <f>AI11*VLOOKUP('Données projet'!$B$10,Paramètres!$A$1:$I$89,3,0)*VLOOKUP('Données projet'!$B$10,Paramètres!$A$1:$I$89,5,0)</f>
        <v>#N/A</v>
      </c>
      <c r="AK11" s="13" t="e">
        <f t="shared" si="35"/>
        <v>#N/A</v>
      </c>
      <c r="AL11" s="20" t="e">
        <f t="shared" si="4"/>
        <v>#N/A</v>
      </c>
      <c r="AM11" s="59" t="e">
        <f t="shared" si="5"/>
        <v>#N/A</v>
      </c>
      <c r="AN11" s="59" t="e">
        <f ca="1">AVERAGE(OFFSET($AM$3,0,0,'Données projet'!$E$10+1,1))-AVERAGE(OFFSET($H$3,0,0,'Données projet'!$E$10+1,1))</f>
        <v>#N/A</v>
      </c>
      <c r="AO11" s="59" t="e">
        <f t="shared" si="36"/>
        <v>#N/A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 t="e">
        <f>EXP(-LN(2)/35)*AU10+(1-EXP(-LN(2)/35))/(LN(2)/35)*AQ11*AR11*VLOOKUP('Données projet'!$B$10,Paramètres!$A$1:$I$89,3,0)*0.475*44/12</f>
        <v>#N/A</v>
      </c>
      <c r="AV11" s="21" t="e">
        <f>EXP(-LN(2)/25)*AV10+(1-EXP(-LN(2)/25))/(LN(2)/25)*Calculateur!AQ11*Calculateur!AS11*VLOOKUP('Données projet'!$B$10,Paramètres!$A$1:$I$89,3,0)*0.475*44/12</f>
        <v>#N/A</v>
      </c>
      <c r="AW11" s="21" t="e">
        <f>EXP(-LN(2)/2)*AW10+(1-EXP(-LN(2)/2))/(LN(2)/2)*AQ11*AT11*VLOOKUP('Données projet'!$B$10,Paramètres!$A$1:$I$89,3,0)*0.475*44/12</f>
        <v>#N/A</v>
      </c>
      <c r="AX11" s="21" t="e">
        <f t="shared" si="6"/>
        <v>#N/A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1">
        <f t="shared" si="32"/>
        <v>1.8814997515338503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7">
        <f t="shared" si="1"/>
        <v>305.16882873392143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3.85</v>
      </c>
      <c r="N12" s="13">
        <f>IF('Données projet'!$A$36&gt;35,N11+M12-V11,IF(A12&lt;'Données projet'!$A$36,$K$205^A12,IF(A12='Données projet'!$A$36,'Données projet'!$B$36,N11+M12-V11)))</f>
        <v>17.720724822873922</v>
      </c>
      <c r="O12" s="13">
        <f>N12*VLOOKUP('Données projet'!$B$9,Paramètres!$A$1:$I$89,3,0)*VLOOKUP('Données projet'!$B$9,Paramètres!$A$1:$I$89,5,0)</f>
        <v>10.596993444078608</v>
      </c>
      <c r="P12" s="13">
        <f t="shared" si="33"/>
        <v>3.7102525158512041</v>
      </c>
      <c r="Q12" s="20">
        <f t="shared" si="2"/>
        <v>24.918453380211091</v>
      </c>
      <c r="R12" s="59">
        <f t="shared" si="0"/>
        <v>318.25178671354439</v>
      </c>
      <c r="S12" s="59">
        <f ca="1">AVERAGE(OFFSET($R$3,0,0,'Données projet'!$E$9+1,1))-AVERAGE(OFFSET($H$3,0,0,'Données projet'!$E$9+1,1))</f>
        <v>252.28378247570731</v>
      </c>
      <c r="T12" s="59">
        <f t="shared" si="34"/>
        <v>263.50418595307343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0</v>
      </c>
      <c r="AI12" s="13">
        <f>IF('Données projet'!$A$62&gt;35,AI11+AH12-AQ11,IF(A12&lt;'Données projet'!$A$62,$AF$205^A12,IF(A12='Données projet'!$A$62,'Données projet'!$B$62,AI11+AH12-AQ11)))</f>
        <v>0</v>
      </c>
      <c r="AJ12" s="13" t="e">
        <f>AI12*VLOOKUP('Données projet'!$B$10,Paramètres!$A$1:$I$89,3,0)*VLOOKUP('Données projet'!$B$10,Paramètres!$A$1:$I$89,5,0)</f>
        <v>#N/A</v>
      </c>
      <c r="AK12" s="13" t="e">
        <f t="shared" si="35"/>
        <v>#N/A</v>
      </c>
      <c r="AL12" s="20" t="e">
        <f t="shared" si="4"/>
        <v>#N/A</v>
      </c>
      <c r="AM12" s="59" t="e">
        <f t="shared" si="5"/>
        <v>#N/A</v>
      </c>
      <c r="AN12" s="59" t="e">
        <f ca="1">AVERAGE(OFFSET($AM$3,0,0,'Données projet'!$E$10+1,1))-AVERAGE(OFFSET($H$3,0,0,'Données projet'!$E$10+1,1))</f>
        <v>#N/A</v>
      </c>
      <c r="AO12" s="59" t="e">
        <f t="shared" si="36"/>
        <v>#N/A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 t="e">
        <f>EXP(-LN(2)/35)*AU11+(1-EXP(-LN(2)/35))/(LN(2)/35)*AQ12*AR12*VLOOKUP('Données projet'!$B$10,Paramètres!$A$1:$I$89,3,0)*0.475*44/12</f>
        <v>#N/A</v>
      </c>
      <c r="AV12" s="21" t="e">
        <f>EXP(-LN(2)/25)*AV11+(1-EXP(-LN(2)/25))/(LN(2)/25)*Calculateur!AQ12*Calculateur!AS12*VLOOKUP('Données projet'!$B$10,Paramètres!$A$1:$I$89,3,0)*0.475*44/12</f>
        <v>#N/A</v>
      </c>
      <c r="AW12" s="21" t="e">
        <f>EXP(-LN(2)/2)*AW11+(1-EXP(-LN(2)/2))/(LN(2)/2)*AQ12*AT12*VLOOKUP('Données projet'!$B$10,Paramètres!$A$1:$I$89,3,0)*0.475*44/12</f>
        <v>#N/A</v>
      </c>
      <c r="AX12" s="21" t="e">
        <f t="shared" si="6"/>
        <v>#N/A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1">
        <f t="shared" si="32"/>
        <v>2.0650733588092973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7">
        <f t="shared" si="1"/>
        <v>306.43950276659285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3.85</v>
      </c>
      <c r="N13" s="13">
        <f>IF('Données projet'!$A$36&gt;35,N12+M13-V12,IF(A13&lt;'Données projet'!$A$36,$K$205^A13,IF(A13='Données projet'!$A$36,'Données projet'!$B$36,N12+M13-V12)))</f>
        <v>24.389429756561942</v>
      </c>
      <c r="O13" s="13">
        <f>N13*VLOOKUP('Données projet'!$B$9,Paramètres!$A$1:$I$89,3,0)*VLOOKUP('Données projet'!$B$9,Paramètres!$A$1:$I$89,5,0)</f>
        <v>14.584878994424042</v>
      </c>
      <c r="P13" s="13">
        <f t="shared" si="33"/>
        <v>4.9201303153214564</v>
      </c>
      <c r="Q13" s="20">
        <f t="shared" si="2"/>
        <v>33.971224547806742</v>
      </c>
      <c r="R13" s="59">
        <f t="shared" si="0"/>
        <v>327.30455788114006</v>
      </c>
      <c r="S13" s="59">
        <f ca="1">AVERAGE(OFFSET($R$3,0,0,'Données projet'!$E$9+1,1))-AVERAGE(OFFSET($H$3,0,0,'Données projet'!$E$9+1,1))</f>
        <v>252.28378247570731</v>
      </c>
      <c r="T13" s="59">
        <f t="shared" si="34"/>
        <v>263.50418595307343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0</v>
      </c>
      <c r="AI13" s="13">
        <f>IF('Données projet'!$A$62&gt;35,AI12+AH13-AQ12,IF(A13&lt;'Données projet'!$A$62,$AF$205^A13,IF(A13='Données projet'!$A$62,'Données projet'!$B$62,AI12+AH13-AQ12)))</f>
        <v>0</v>
      </c>
      <c r="AJ13" s="13" t="e">
        <f>AI13*VLOOKUP('Données projet'!$B$10,Paramètres!$A$1:$I$89,3,0)*VLOOKUP('Données projet'!$B$10,Paramètres!$A$1:$I$89,5,0)</f>
        <v>#N/A</v>
      </c>
      <c r="AK13" s="13" t="e">
        <f t="shared" si="35"/>
        <v>#N/A</v>
      </c>
      <c r="AL13" s="20" t="e">
        <f t="shared" si="4"/>
        <v>#N/A</v>
      </c>
      <c r="AM13" s="59" t="e">
        <f t="shared" si="5"/>
        <v>#N/A</v>
      </c>
      <c r="AN13" s="59" t="e">
        <f ca="1">AVERAGE(OFFSET($AM$3,0,0,'Données projet'!$E$10+1,1))-AVERAGE(OFFSET($H$3,0,0,'Données projet'!$E$10+1,1))</f>
        <v>#N/A</v>
      </c>
      <c r="AO13" s="59" t="e">
        <f t="shared" si="36"/>
        <v>#N/A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 t="e">
        <f>EXP(-LN(2)/35)*AU12+(1-EXP(-LN(2)/35))/(LN(2)/35)*AQ13*AR13*VLOOKUP('Données projet'!$B$10,Paramètres!$A$1:$I$89,3,0)*0.475*44/12</f>
        <v>#N/A</v>
      </c>
      <c r="AV13" s="21" t="e">
        <f>EXP(-LN(2)/25)*AV12+(1-EXP(-LN(2)/25))/(LN(2)/25)*Calculateur!AQ13*Calculateur!AS13*VLOOKUP('Données projet'!$B$10,Paramètres!$A$1:$I$89,3,0)*0.475*44/12</f>
        <v>#N/A</v>
      </c>
      <c r="AW13" s="21" t="e">
        <f>EXP(-LN(2)/2)*AW12+(1-EXP(-LN(2)/2))/(LN(2)/2)*AQ13*AT13*VLOOKUP('Données projet'!$B$10,Paramètres!$A$1:$I$89,3,0)*0.475*44/12</f>
        <v>#N/A</v>
      </c>
      <c r="AX13" s="21" t="e">
        <f t="shared" si="6"/>
        <v>#N/A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1">
        <f t="shared" si="32"/>
        <v>2.2465188167092136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7">
        <f t="shared" si="1"/>
        <v>307.70647027243518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3.85</v>
      </c>
      <c r="N14" s="13">
        <f>IF('Données projet'!$A$36&gt;35,N13+M14-V13,IF(A14&lt;'Données projet'!$A$36,$K$205^A14,IF(A14='Données projet'!$A$36,'Données projet'!$B$36,N13+M14-V13)))</f>
        <v>33.567717449257145</v>
      </c>
      <c r="O14" s="13">
        <f>N14*VLOOKUP('Données projet'!$B$9,Paramètres!$A$1:$I$89,3,0)*VLOOKUP('Données projet'!$B$9,Paramètres!$A$1:$I$89,5,0)</f>
        <v>20.073495034655775</v>
      </c>
      <c r="P14" s="13">
        <f t="shared" si="33"/>
        <v>6.5245376740055958</v>
      </c>
      <c r="Q14" s="20">
        <f t="shared" si="2"/>
        <v>46.324906967585214</v>
      </c>
      <c r="R14" s="59">
        <f t="shared" si="0"/>
        <v>339.65824030091852</v>
      </c>
      <c r="S14" s="59">
        <f ca="1">AVERAGE(OFFSET($R$3,0,0,'Données projet'!$E$9+1,1))-AVERAGE(OFFSET($H$3,0,0,'Données projet'!$E$9+1,1))</f>
        <v>252.28378247570731</v>
      </c>
      <c r="T14" s="59">
        <f t="shared" si="34"/>
        <v>263.50418595307343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0</v>
      </c>
      <c r="AI14" s="13">
        <f>IF('Données projet'!$A$62&gt;35,AI13+AH14-AQ13,IF(A14&lt;'Données projet'!$A$62,$AF$205^A14,IF(A14='Données projet'!$A$62,'Données projet'!$B$62,AI13+AH14-AQ13)))</f>
        <v>0</v>
      </c>
      <c r="AJ14" s="13" t="e">
        <f>AI14*VLOOKUP('Données projet'!$B$10,Paramètres!$A$1:$I$89,3,0)*VLOOKUP('Données projet'!$B$10,Paramètres!$A$1:$I$89,5,0)</f>
        <v>#N/A</v>
      </c>
      <c r="AK14" s="13" t="e">
        <f t="shared" si="35"/>
        <v>#N/A</v>
      </c>
      <c r="AL14" s="20" t="e">
        <f t="shared" si="4"/>
        <v>#N/A</v>
      </c>
      <c r="AM14" s="59" t="e">
        <f t="shared" si="5"/>
        <v>#N/A</v>
      </c>
      <c r="AN14" s="59" t="e">
        <f ca="1">AVERAGE(OFFSET($AM$3,0,0,'Données projet'!$E$10+1,1))-AVERAGE(OFFSET($H$3,0,0,'Données projet'!$E$10+1,1))</f>
        <v>#N/A</v>
      </c>
      <c r="AO14" s="59" t="e">
        <f t="shared" si="36"/>
        <v>#N/A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 t="e">
        <f>EXP(-LN(2)/35)*AU13+(1-EXP(-LN(2)/35))/(LN(2)/35)*AQ14*AR14*VLOOKUP('Données projet'!$B$10,Paramètres!$A$1:$I$89,3,0)*0.475*44/12</f>
        <v>#N/A</v>
      </c>
      <c r="AV14" s="21" t="e">
        <f>EXP(-LN(2)/25)*AV13+(1-EXP(-LN(2)/25))/(LN(2)/25)*Calculateur!AQ14*Calculateur!AS14*VLOOKUP('Données projet'!$B$10,Paramètres!$A$1:$I$89,3,0)*0.475*44/12</f>
        <v>#N/A</v>
      </c>
      <c r="AW14" s="21" t="e">
        <f>EXP(-LN(2)/2)*AW13+(1-EXP(-LN(2)/2))/(LN(2)/2)*AQ14*AT14*VLOOKUP('Données projet'!$B$10,Paramètres!$A$1:$I$89,3,0)*0.475*44/12</f>
        <v>#N/A</v>
      </c>
      <c r="AX14" s="21" t="e">
        <f t="shared" si="6"/>
        <v>#N/A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1">
        <f t="shared" si="32"/>
        <v>2.4260515959655744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7">
        <f t="shared" si="1"/>
        <v>308.97010652964002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>
        <f>VLOOKUP(A15,'Données projet'!$A$35:$I$55,2,0)</f>
        <v>46.2</v>
      </c>
      <c r="L15" s="12">
        <f>VLOOKUP(A15,'Données projet'!$A$35:$I$55,9,0)</f>
        <v>3.85</v>
      </c>
      <c r="M15" s="12">
        <f t="array" ref="M15">INDEX(L:L,MIN(IF(ISNUMBER(L15:L211),ROW(L15:L211),"")))</f>
        <v>3.85</v>
      </c>
      <c r="N15" s="13">
        <f>IF('Données projet'!$A$36&gt;35,N14+M15-V14,IF(A15&lt;'Données projet'!$A$36,$K$205^A15,IF(A15='Données projet'!$A$36,'Données projet'!$B$36,N14+M15-V14)))</f>
        <v>46.2</v>
      </c>
      <c r="O15" s="13">
        <f>N15*VLOOKUP('Données projet'!$B$9,Paramètres!$A$1:$I$89,3,0)*VLOOKUP('Données projet'!$B$9,Paramètres!$A$1:$I$89,5,0)</f>
        <v>27.627600000000005</v>
      </c>
      <c r="P15" s="13">
        <f t="shared" si="33"/>
        <v>8.6521269013861506</v>
      </c>
      <c r="Q15" s="20">
        <f t="shared" si="2"/>
        <v>63.187191019914216</v>
      </c>
      <c r="R15" s="59">
        <f t="shared" si="0"/>
        <v>356.52052435324754</v>
      </c>
      <c r="S15" s="59">
        <f ca="1">AVERAGE(OFFSET($R$3,0,0,'Données projet'!$E$9+1,1))-AVERAGE(OFFSET($H$3,0,0,'Données projet'!$E$9+1,1))</f>
        <v>252.28378247570731</v>
      </c>
      <c r="T15" s="59">
        <f t="shared" si="34"/>
        <v>263.50418595307343</v>
      </c>
      <c r="U15" s="15">
        <f>IF(ISNA(VLOOKUP(A15,'Données projet'!$A$35:$I$55,3,0)),0,VLOOKUP(A15,'Données projet'!$A$35:$I$55,3,0))</f>
        <v>1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0</v>
      </c>
      <c r="AI15" s="13">
        <f>IF('Données projet'!$A$62&gt;35,AI14+AH15-AQ14,IF(A15&lt;'Données projet'!$A$62,$AF$205^A15,IF(A15='Données projet'!$A$62,'Données projet'!$B$62,AI14+AH15-AQ14)))</f>
        <v>0</v>
      </c>
      <c r="AJ15" s="13" t="e">
        <f>AI15*VLOOKUP('Données projet'!$B$10,Paramètres!$A$1:$I$89,3,0)*VLOOKUP('Données projet'!$B$10,Paramètres!$A$1:$I$89,5,0)</f>
        <v>#N/A</v>
      </c>
      <c r="AK15" s="13" t="e">
        <f t="shared" si="35"/>
        <v>#N/A</v>
      </c>
      <c r="AL15" s="20" t="e">
        <f t="shared" si="4"/>
        <v>#N/A</v>
      </c>
      <c r="AM15" s="59" t="e">
        <f t="shared" si="5"/>
        <v>#N/A</v>
      </c>
      <c r="AN15" s="59" t="e">
        <f ca="1">AVERAGE(OFFSET($AM$3,0,0,'Données projet'!$E$10+1,1))-AVERAGE(OFFSET($H$3,0,0,'Données projet'!$E$10+1,1))</f>
        <v>#N/A</v>
      </c>
      <c r="AO15" s="59" t="e">
        <f t="shared" si="36"/>
        <v>#N/A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 t="e">
        <f>EXP(-LN(2)/35)*AU14+(1-EXP(-LN(2)/35))/(LN(2)/35)*AQ15*AR15*VLOOKUP('Données projet'!$B$10,Paramètres!$A$1:$I$89,3,0)*0.475*44/12</f>
        <v>#N/A</v>
      </c>
      <c r="AV15" s="21" t="e">
        <f>EXP(-LN(2)/25)*AV14+(1-EXP(-LN(2)/25))/(LN(2)/25)*Calculateur!AQ15*Calculateur!AS15*VLOOKUP('Données projet'!$B$10,Paramètres!$A$1:$I$89,3,0)*0.475*44/12</f>
        <v>#N/A</v>
      </c>
      <c r="AW15" s="21" t="e">
        <f>EXP(-LN(2)/2)*AW14+(1-EXP(-LN(2)/2))/(LN(2)/2)*AQ15*AT15*VLOOKUP('Données projet'!$B$10,Paramètres!$A$1:$I$89,3,0)*0.475*44/12</f>
        <v>#N/A</v>
      </c>
      <c r="AX15" s="21" t="e">
        <f t="shared" si="6"/>
        <v>#N/A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1">
        <f t="shared" si="32"/>
        <v>2.6038492076799815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7">
        <f t="shared" si="1"/>
        <v>310.23072070337594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15.324999999999999</v>
      </c>
      <c r="N16" s="13">
        <f>IF('Données projet'!$A$36&gt;35,N15+M16-V15,IF(A16&lt;'Données projet'!$A$36,$K$205^A16,IF(A16='Données projet'!$A$36,'Données projet'!$B$36,N15+M16-V15)))</f>
        <v>61.525000000000006</v>
      </c>
      <c r="O16" s="13">
        <f>N16*VLOOKUP('Données projet'!$B$9,Paramètres!$A$1:$I$89,3,0)*VLOOKUP('Données projet'!$B$9,Paramètres!$A$1:$I$89,5,0)</f>
        <v>36.791950000000007</v>
      </c>
      <c r="P16" s="13">
        <f t="shared" si="33"/>
        <v>11.144260225190576</v>
      </c>
      <c r="Q16" s="20">
        <f t="shared" si="2"/>
        <v>83.488899475540265</v>
      </c>
      <c r="R16" s="59">
        <f t="shared" si="0"/>
        <v>376.82223280887359</v>
      </c>
      <c r="S16" s="59">
        <f ca="1">AVERAGE(OFFSET($R$3,0,0,'Données projet'!$E$9+1,1))-AVERAGE(OFFSET($H$3,0,0,'Données projet'!$E$9+1,1))</f>
        <v>252.28378247570731</v>
      </c>
      <c r="T16" s="59">
        <f t="shared" si="34"/>
        <v>263.50418595307343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0</v>
      </c>
      <c r="AI16" s="13">
        <f>IF('Données projet'!$A$62&gt;35,AI15+AH16-AQ15,IF(A16&lt;'Données projet'!$A$62,$AF$205^A16,IF(A16='Données projet'!$A$62,'Données projet'!$B$62,AI15+AH16-AQ15)))</f>
        <v>0</v>
      </c>
      <c r="AJ16" s="13" t="e">
        <f>AI16*VLOOKUP('Données projet'!$B$10,Paramètres!$A$1:$I$89,3,0)*VLOOKUP('Données projet'!$B$10,Paramètres!$A$1:$I$89,5,0)</f>
        <v>#N/A</v>
      </c>
      <c r="AK16" s="13" t="e">
        <f t="shared" si="35"/>
        <v>#N/A</v>
      </c>
      <c r="AL16" s="20" t="e">
        <f t="shared" si="4"/>
        <v>#N/A</v>
      </c>
      <c r="AM16" s="59" t="e">
        <f t="shared" si="5"/>
        <v>#N/A</v>
      </c>
      <c r="AN16" s="59" t="e">
        <f ca="1">AVERAGE(OFFSET($AM$3,0,0,'Données projet'!$E$10+1,1))-AVERAGE(OFFSET($H$3,0,0,'Données projet'!$E$10+1,1))</f>
        <v>#N/A</v>
      </c>
      <c r="AO16" s="59" t="e">
        <f t="shared" si="36"/>
        <v>#N/A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 t="e">
        <f>EXP(-LN(2)/35)*AU15+(1-EXP(-LN(2)/35))/(LN(2)/35)*AQ16*AR16*VLOOKUP('Données projet'!$B$10,Paramètres!$A$1:$I$89,3,0)*0.475*44/12</f>
        <v>#N/A</v>
      </c>
      <c r="AV16" s="21" t="e">
        <f>EXP(-LN(2)/25)*AV15+(1-EXP(-LN(2)/25))/(LN(2)/25)*Calculateur!AQ16*Calculateur!AS16*VLOOKUP('Données projet'!$B$10,Paramètres!$A$1:$I$89,3,0)*0.475*44/12</f>
        <v>#N/A</v>
      </c>
      <c r="AW16" s="21" t="e">
        <f>EXP(-LN(2)/2)*AW15+(1-EXP(-LN(2)/2))/(LN(2)/2)*AQ16*AT16*VLOOKUP('Données projet'!$B$10,Paramètres!$A$1:$I$89,3,0)*0.475*44/12</f>
        <v>#N/A</v>
      </c>
      <c r="AX16" s="21" t="e">
        <f t="shared" si="6"/>
        <v>#N/A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1">
        <f t="shared" si="32"/>
        <v>2.7800603022041317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7">
        <f t="shared" si="1"/>
        <v>311.4885716930055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15.324999999999999</v>
      </c>
      <c r="N17" s="13">
        <f>IF('Données projet'!$A$36&gt;35,N16+M17-V16,IF(A17&lt;'Données projet'!$A$36,$K$205^A17,IF(A17='Données projet'!$A$36,'Données projet'!$B$36,N16+M17-V16)))</f>
        <v>76.850000000000009</v>
      </c>
      <c r="O17" s="13">
        <f>N17*VLOOKUP('Données projet'!$B$9,Paramètres!$A$1:$I$89,3,0)*VLOOKUP('Données projet'!$B$9,Paramètres!$A$1:$I$89,5,0)</f>
        <v>45.956300000000013</v>
      </c>
      <c r="P17" s="13">
        <f t="shared" si="33"/>
        <v>13.564386507579055</v>
      </c>
      <c r="Q17" s="20">
        <f t="shared" si="2"/>
        <v>103.66519566736689</v>
      </c>
      <c r="R17" s="59">
        <f t="shared" si="0"/>
        <v>396.99852900070022</v>
      </c>
      <c r="S17" s="59">
        <f ca="1">AVERAGE(OFFSET($R$3,0,0,'Données projet'!$E$9+1,1))-AVERAGE(OFFSET($H$3,0,0,'Données projet'!$E$9+1,1))</f>
        <v>252.28378247570731</v>
      </c>
      <c r="T17" s="59">
        <f t="shared" si="34"/>
        <v>263.50418595307343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0</v>
      </c>
      <c r="AI17" s="13">
        <f>IF('Données projet'!$A$62&gt;35,AI16+AH17-AQ16,IF(A17&lt;'Données projet'!$A$62,$AF$205^A17,IF(A17='Données projet'!$A$62,'Données projet'!$B$62,AI16+AH17-AQ16)))</f>
        <v>0</v>
      </c>
      <c r="AJ17" s="13" t="e">
        <f>AI17*VLOOKUP('Données projet'!$B$10,Paramètres!$A$1:$I$89,3,0)*VLOOKUP('Données projet'!$B$10,Paramètres!$A$1:$I$89,5,0)</f>
        <v>#N/A</v>
      </c>
      <c r="AK17" s="13" t="e">
        <f t="shared" si="35"/>
        <v>#N/A</v>
      </c>
      <c r="AL17" s="20" t="e">
        <f t="shared" si="4"/>
        <v>#N/A</v>
      </c>
      <c r="AM17" s="59" t="e">
        <f t="shared" si="5"/>
        <v>#N/A</v>
      </c>
      <c r="AN17" s="59" t="e">
        <f ca="1">AVERAGE(OFFSET($AM$3,0,0,'Données projet'!$E$10+1,1))-AVERAGE(OFFSET($H$3,0,0,'Données projet'!$E$10+1,1))</f>
        <v>#N/A</v>
      </c>
      <c r="AO17" s="59" t="e">
        <f t="shared" si="36"/>
        <v>#N/A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 t="e">
        <f>EXP(-LN(2)/35)*AU16+(1-EXP(-LN(2)/35))/(LN(2)/35)*AQ17*AR17*VLOOKUP('Données projet'!$B$10,Paramètres!$A$1:$I$89,3,0)*0.475*44/12</f>
        <v>#N/A</v>
      </c>
      <c r="AV17" s="21" t="e">
        <f>EXP(-LN(2)/25)*AV16+(1-EXP(-LN(2)/25))/(LN(2)/25)*Calculateur!AQ17*Calculateur!AS17*VLOOKUP('Données projet'!$B$10,Paramètres!$A$1:$I$89,3,0)*0.475*44/12</f>
        <v>#N/A</v>
      </c>
      <c r="AW17" s="21" t="e">
        <f>EXP(-LN(2)/2)*AW16+(1-EXP(-LN(2)/2))/(LN(2)/2)*AQ17*AT17*VLOOKUP('Données projet'!$B$10,Paramètres!$A$1:$I$89,3,0)*0.475*44/12</f>
        <v>#N/A</v>
      </c>
      <c r="AX17" s="21" t="e">
        <f t="shared" si="6"/>
        <v>#N/A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1">
        <f t="shared" si="32"/>
        <v>2.9548110908066194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7">
        <f t="shared" si="1"/>
        <v>312.74387931648818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15.324999999999999</v>
      </c>
      <c r="N18" s="13">
        <f>IF('Données projet'!$A$36&gt;35,N17+M18-V17,IF(A18&lt;'Données projet'!$A$36,$K$205^A18,IF(A18='Données projet'!$A$36,'Données projet'!$B$36,N17+M18-V17)))</f>
        <v>92.175000000000011</v>
      </c>
      <c r="O18" s="13">
        <f>N18*VLOOKUP('Données projet'!$B$9,Paramètres!$A$1:$I$89,3,0)*VLOOKUP('Données projet'!$B$9,Paramètres!$A$1:$I$89,5,0)</f>
        <v>55.120650000000012</v>
      </c>
      <c r="P18" s="13">
        <f t="shared" si="33"/>
        <v>15.928592691029031</v>
      </c>
      <c r="Q18" s="20">
        <f t="shared" si="2"/>
        <v>123.74409768687555</v>
      </c>
      <c r="R18" s="59">
        <f t="shared" si="0"/>
        <v>417.07743102020885</v>
      </c>
      <c r="S18" s="59">
        <f ca="1">AVERAGE(OFFSET($R$3,0,0,'Données projet'!$E$9+1,1))-AVERAGE(OFFSET($H$3,0,0,'Données projet'!$E$9+1,1))</f>
        <v>252.28378247570731</v>
      </c>
      <c r="T18" s="59">
        <f t="shared" si="34"/>
        <v>263.50418595307343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0</v>
      </c>
      <c r="AI18" s="13">
        <f>IF('Données projet'!$A$62&gt;35,AI17+AH18-AQ17,IF(A18&lt;'Données projet'!$A$62,$AF$205^A18,IF(A18='Données projet'!$A$62,'Données projet'!$B$62,AI17+AH18-AQ17)))</f>
        <v>0</v>
      </c>
      <c r="AJ18" s="13" t="e">
        <f>AI18*VLOOKUP('Données projet'!$B$10,Paramètres!$A$1:$I$89,3,0)*VLOOKUP('Données projet'!$B$10,Paramètres!$A$1:$I$89,5,0)</f>
        <v>#N/A</v>
      </c>
      <c r="AK18" s="13" t="e">
        <f t="shared" si="35"/>
        <v>#N/A</v>
      </c>
      <c r="AL18" s="20" t="e">
        <f t="shared" si="4"/>
        <v>#N/A</v>
      </c>
      <c r="AM18" s="59" t="e">
        <f t="shared" si="5"/>
        <v>#N/A</v>
      </c>
      <c r="AN18" s="59" t="e">
        <f ca="1">AVERAGE(OFFSET($AM$3,0,0,'Données projet'!$E$10+1,1))-AVERAGE(OFFSET($H$3,0,0,'Données projet'!$E$10+1,1))</f>
        <v>#N/A</v>
      </c>
      <c r="AO18" s="59" t="e">
        <f t="shared" si="36"/>
        <v>#N/A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 t="e">
        <f>EXP(-LN(2)/35)*AU17+(1-EXP(-LN(2)/35))/(LN(2)/35)*AQ18*AR18*VLOOKUP('Données projet'!$B$10,Paramètres!$A$1:$I$89,3,0)*0.475*44/12</f>
        <v>#N/A</v>
      </c>
      <c r="AV18" s="21" t="e">
        <f>EXP(-LN(2)/25)*AV17+(1-EXP(-LN(2)/25))/(LN(2)/25)*Calculateur!AQ18*Calculateur!AS18*VLOOKUP('Données projet'!$B$10,Paramètres!$A$1:$I$89,3,0)*0.475*44/12</f>
        <v>#N/A</v>
      </c>
      <c r="AW18" s="21" t="e">
        <f>EXP(-LN(2)/2)*AW17+(1-EXP(-LN(2)/2))/(LN(2)/2)*AQ18*AT18*VLOOKUP('Données projet'!$B$10,Paramètres!$A$1:$I$89,3,0)*0.475*44/12</f>
        <v>#N/A</v>
      </c>
      <c r="AX18" s="21" t="e">
        <f t="shared" si="6"/>
        <v>#N/A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1">
        <f t="shared" si="32"/>
        <v>3.1282100045396777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7">
        <f t="shared" si="1"/>
        <v>313.99683242457326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>
        <f>VLOOKUP(A19,'Données projet'!$A$35:$I$55,2,0)</f>
        <v>107.5</v>
      </c>
      <c r="L19" s="12">
        <f>VLOOKUP(A19,'Données projet'!$A$35:$I$55,9,0)</f>
        <v>15.324999999999999</v>
      </c>
      <c r="M19" s="12">
        <f t="array" ref="M19">INDEX(L:L,MIN(IF(ISNUMBER(L19:L215),ROW(L19:L215),"")))</f>
        <v>15.324999999999999</v>
      </c>
      <c r="N19" s="13">
        <f>IF('Données projet'!$A$36&gt;35,N18+M19-V18,IF(A19&lt;'Données projet'!$A$36,$K$205^A19,IF(A19='Données projet'!$A$36,'Données projet'!$B$36,N18+M19-V18)))</f>
        <v>107.50000000000001</v>
      </c>
      <c r="O19" s="13">
        <f>N19*VLOOKUP('Données projet'!$B$9,Paramètres!$A$1:$I$89,3,0)*VLOOKUP('Données projet'!$B$9,Paramètres!$A$1:$I$89,5,0)</f>
        <v>64.285000000000011</v>
      </c>
      <c r="P19" s="13">
        <f t="shared" si="33"/>
        <v>18.247263773944024</v>
      </c>
      <c r="Q19" s="20">
        <f t="shared" si="2"/>
        <v>143.74369273961921</v>
      </c>
      <c r="R19" s="59">
        <f t="shared" si="0"/>
        <v>437.07702607295255</v>
      </c>
      <c r="S19" s="59">
        <f ca="1">AVERAGE(OFFSET($R$3,0,0,'Données projet'!$E$9+1,1))-AVERAGE(OFFSET($H$3,0,0,'Données projet'!$E$9+1,1))</f>
        <v>252.28378247570731</v>
      </c>
      <c r="T19" s="59">
        <f t="shared" si="34"/>
        <v>263.50418595307343</v>
      </c>
      <c r="U19" s="15">
        <f>IF(ISNA(VLOOKUP(A19,'Données projet'!$A$35:$I$55,3,0)),0,VLOOKUP(A19,'Données projet'!$A$35:$I$55,3,0))</f>
        <v>2</v>
      </c>
      <c r="V19" s="15">
        <f>IF(ISNA(VLOOKUP(A19,'Données projet'!$A$35:$I$55,4,0)),0,VLOOKUP(A19,'Données projet'!$A$35:$I$55,4,0))</f>
        <v>25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0.5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8.4634364240103324</v>
      </c>
      <c r="AC19" s="22">
        <f t="shared" si="3"/>
        <v>8.4634364240103324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0</v>
      </c>
      <c r="AI19" s="13">
        <f>IF('Données projet'!$A$62&gt;35,AI18+AH19-AQ18,IF(A19&lt;'Données projet'!$A$62,$AF$205^A19,IF(A19='Données projet'!$A$62,'Données projet'!$B$62,AI18+AH19-AQ18)))</f>
        <v>0</v>
      </c>
      <c r="AJ19" s="13" t="e">
        <f>AI19*VLOOKUP('Données projet'!$B$10,Paramètres!$A$1:$I$89,3,0)*VLOOKUP('Données projet'!$B$10,Paramètres!$A$1:$I$89,5,0)</f>
        <v>#N/A</v>
      </c>
      <c r="AK19" s="13" t="e">
        <f t="shared" si="35"/>
        <v>#N/A</v>
      </c>
      <c r="AL19" s="20" t="e">
        <f t="shared" si="4"/>
        <v>#N/A</v>
      </c>
      <c r="AM19" s="59" t="e">
        <f t="shared" si="5"/>
        <v>#N/A</v>
      </c>
      <c r="AN19" s="59" t="e">
        <f ca="1">AVERAGE(OFFSET($AM$3,0,0,'Données projet'!$E$10+1,1))-AVERAGE(OFFSET($H$3,0,0,'Données projet'!$E$10+1,1))</f>
        <v>#N/A</v>
      </c>
      <c r="AO19" s="59" t="e">
        <f t="shared" si="36"/>
        <v>#N/A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 t="e">
        <f>EXP(-LN(2)/35)*AU18+(1-EXP(-LN(2)/35))/(LN(2)/35)*AQ19*AR19*VLOOKUP('Données projet'!$B$10,Paramètres!$A$1:$I$89,3,0)*0.475*44/12</f>
        <v>#N/A</v>
      </c>
      <c r="AV19" s="21" t="e">
        <f>EXP(-LN(2)/25)*AV18+(1-EXP(-LN(2)/25))/(LN(2)/25)*Calculateur!AQ19*Calculateur!AS19*VLOOKUP('Données projet'!$B$10,Paramètres!$A$1:$I$89,3,0)*0.475*44/12</f>
        <v>#N/A</v>
      </c>
      <c r="AW19" s="21" t="e">
        <f>EXP(-LN(2)/2)*AW18+(1-EXP(-LN(2)/2))/(LN(2)/2)*AQ19*AT19*VLOOKUP('Données projet'!$B$10,Paramètres!$A$1:$I$89,3,0)*0.475*44/12</f>
        <v>#N/A</v>
      </c>
      <c r="AX19" s="21" t="e">
        <f t="shared" si="6"/>
        <v>#N/A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1">
        <f t="shared" si="32"/>
        <v>3.3003511545061563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7">
        <f t="shared" si="1"/>
        <v>315.24759492743152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17.200000000000003</v>
      </c>
      <c r="N20" s="13">
        <f>IF('Données projet'!$A$36&gt;35,N19+M20-V19,IF(A20&lt;'Données projet'!$A$36,$K$205^A20,IF(A20='Données projet'!$A$36,'Données projet'!$B$36,N19+M20-V19)))</f>
        <v>99.700000000000017</v>
      </c>
      <c r="O20" s="13">
        <f>N20*VLOOKUP('Données projet'!$B$9,Paramètres!$A$1:$I$89,3,0)*VLOOKUP('Données projet'!$B$9,Paramètres!$A$1:$I$89,5,0)</f>
        <v>59.62060000000001</v>
      </c>
      <c r="P20" s="13">
        <f t="shared" si="33"/>
        <v>17.072309403636297</v>
      </c>
      <c r="Q20" s="20">
        <f t="shared" si="2"/>
        <v>133.57348387799991</v>
      </c>
      <c r="R20" s="59">
        <f t="shared" si="0"/>
        <v>426.90681721133319</v>
      </c>
      <c r="S20" s="59">
        <f ca="1">AVERAGE(OFFSET($R$3,0,0,'Données projet'!$E$9+1,1))-AVERAGE(OFFSET($H$3,0,0,'Données projet'!$E$9+1,1))</f>
        <v>252.28378247570731</v>
      </c>
      <c r="T20" s="59">
        <f t="shared" si="34"/>
        <v>263.50418595307343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5.9845532875589305</v>
      </c>
      <c r="AC20" s="22">
        <f t="shared" si="3"/>
        <v>5.9845532875589305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0</v>
      </c>
      <c r="AI20" s="13">
        <f>IF('Données projet'!$A$62&gt;35,AI19+AH20-AQ19,IF(A20&lt;'Données projet'!$A$62,$AF$205^A20,IF(A20='Données projet'!$A$62,'Données projet'!$B$62,AI19+AH20-AQ19)))</f>
        <v>0</v>
      </c>
      <c r="AJ20" s="13" t="e">
        <f>AI20*VLOOKUP('Données projet'!$B$10,Paramètres!$A$1:$I$89,3,0)*VLOOKUP('Données projet'!$B$10,Paramètres!$A$1:$I$89,5,0)</f>
        <v>#N/A</v>
      </c>
      <c r="AK20" s="13" t="e">
        <f t="shared" si="35"/>
        <v>#N/A</v>
      </c>
      <c r="AL20" s="20" t="e">
        <f t="shared" si="4"/>
        <v>#N/A</v>
      </c>
      <c r="AM20" s="59" t="e">
        <f t="shared" si="5"/>
        <v>#N/A</v>
      </c>
      <c r="AN20" s="59" t="e">
        <f ca="1">AVERAGE(OFFSET($AM$3,0,0,'Données projet'!$E$10+1,1))-AVERAGE(OFFSET($H$3,0,0,'Données projet'!$E$10+1,1))</f>
        <v>#N/A</v>
      </c>
      <c r="AO20" s="59" t="e">
        <f t="shared" si="36"/>
        <v>#N/A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 t="e">
        <f>EXP(-LN(2)/35)*AU19+(1-EXP(-LN(2)/35))/(LN(2)/35)*AQ20*AR20*VLOOKUP('Données projet'!$B$10,Paramètres!$A$1:$I$89,3,0)*0.475*44/12</f>
        <v>#N/A</v>
      </c>
      <c r="AV20" s="21" t="e">
        <f>EXP(-LN(2)/25)*AV19+(1-EXP(-LN(2)/25))/(LN(2)/25)*Calculateur!AQ20*Calculateur!AS20*VLOOKUP('Données projet'!$B$10,Paramètres!$A$1:$I$89,3,0)*0.475*44/12</f>
        <v>#N/A</v>
      </c>
      <c r="AW20" s="21" t="e">
        <f>EXP(-LN(2)/2)*AW19+(1-EXP(-LN(2)/2))/(LN(2)/2)*AQ20*AT20*VLOOKUP('Données projet'!$B$10,Paramètres!$A$1:$I$89,3,0)*0.475*44/12</f>
        <v>#N/A</v>
      </c>
      <c r="AX20" s="21" t="e">
        <f t="shared" si="6"/>
        <v>#N/A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1">
        <f t="shared" si="32"/>
        <v>3.4713169544550633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7">
        <f t="shared" si="1"/>
        <v>316.49631036234257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17.200000000000003</v>
      </c>
      <c r="N21" s="13">
        <f>IF('Données projet'!$A$36&gt;35,N20+M21-V20,IF(A21&lt;'Données projet'!$A$36,$K$205^A21,IF(A21='Données projet'!$A$36,'Données projet'!$B$36,N20+M21-V20)))</f>
        <v>116.90000000000002</v>
      </c>
      <c r="O21" s="13">
        <f>N21*VLOOKUP('Données projet'!$B$9,Paramètres!$A$1:$I$89,3,0)*VLOOKUP('Données projet'!$B$9,Paramètres!$A$1:$I$89,5,0)</f>
        <v>69.906200000000013</v>
      </c>
      <c r="P21" s="13">
        <f t="shared" si="33"/>
        <v>19.650161907904558</v>
      </c>
      <c r="Q21" s="20">
        <f t="shared" si="2"/>
        <v>155.9773303229338</v>
      </c>
      <c r="R21" s="59">
        <f t="shared" si="0"/>
        <v>449.31066365626714</v>
      </c>
      <c r="S21" s="59">
        <f ca="1">AVERAGE(OFFSET($R$3,0,0,'Données projet'!$E$9+1,1))-AVERAGE(OFFSET($H$3,0,0,'Données projet'!$E$9+1,1))</f>
        <v>252.28378247570731</v>
      </c>
      <c r="T21" s="59">
        <f t="shared" si="34"/>
        <v>263.50418595307343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4.2317182120051662</v>
      </c>
      <c r="AC21" s="22">
        <f t="shared" si="3"/>
        <v>4.2317182120051662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0</v>
      </c>
      <c r="AI21" s="13">
        <f>IF('Données projet'!$A$62&gt;35,AI20+AH21-AQ20,IF(A21&lt;'Données projet'!$A$62,$AF$205^A21,IF(A21='Données projet'!$A$62,'Données projet'!$B$62,AI20+AH21-AQ20)))</f>
        <v>0</v>
      </c>
      <c r="AJ21" s="13" t="e">
        <f>AI21*VLOOKUP('Données projet'!$B$10,Paramètres!$A$1:$I$89,3,0)*VLOOKUP('Données projet'!$B$10,Paramètres!$A$1:$I$89,5,0)</f>
        <v>#N/A</v>
      </c>
      <c r="AK21" s="13" t="e">
        <f t="shared" si="35"/>
        <v>#N/A</v>
      </c>
      <c r="AL21" s="20" t="e">
        <f t="shared" si="4"/>
        <v>#N/A</v>
      </c>
      <c r="AM21" s="59" t="e">
        <f t="shared" si="5"/>
        <v>#N/A</v>
      </c>
      <c r="AN21" s="59" t="e">
        <f ca="1">AVERAGE(OFFSET($AM$3,0,0,'Données projet'!$E$10+1,1))-AVERAGE(OFFSET($H$3,0,0,'Données projet'!$E$10+1,1))</f>
        <v>#N/A</v>
      </c>
      <c r="AO21" s="59" t="e">
        <f t="shared" si="36"/>
        <v>#N/A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 t="e">
        <f>EXP(-LN(2)/35)*AU20+(1-EXP(-LN(2)/35))/(LN(2)/35)*AQ21*AR21*VLOOKUP('Données projet'!$B$10,Paramètres!$A$1:$I$89,3,0)*0.475*44/12</f>
        <v>#N/A</v>
      </c>
      <c r="AV21" s="21" t="e">
        <f>EXP(-LN(2)/25)*AV20+(1-EXP(-LN(2)/25))/(LN(2)/25)*Calculateur!AQ21*Calculateur!AS21*VLOOKUP('Données projet'!$B$10,Paramètres!$A$1:$I$89,3,0)*0.475*44/12</f>
        <v>#N/A</v>
      </c>
      <c r="AW21" s="21" t="e">
        <f>EXP(-LN(2)/2)*AW20+(1-EXP(-LN(2)/2))/(LN(2)/2)*AQ21*AT21*VLOOKUP('Données projet'!$B$10,Paramètres!$A$1:$I$89,3,0)*0.475*44/12</f>
        <v>#N/A</v>
      </c>
      <c r="AX21" s="21" t="e">
        <f t="shared" si="6"/>
        <v>#N/A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1">
        <f t="shared" si="32"/>
        <v>3.6411801438697724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7">
        <f t="shared" si="1"/>
        <v>317.74310541723986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17.200000000000003</v>
      </c>
      <c r="N22" s="13">
        <f>IF('Données projet'!$A$36&gt;35,N21+M22-V21,IF(A22&lt;'Données projet'!$A$36,$K$205^A22,IF(A22='Données projet'!$A$36,'Données projet'!$B$36,N21+M22-V21)))</f>
        <v>134.10000000000002</v>
      </c>
      <c r="O22" s="13">
        <f>N22*VLOOKUP('Données projet'!$B$9,Paramètres!$A$1:$I$89,3,0)*VLOOKUP('Données projet'!$B$9,Paramètres!$A$1:$I$89,5,0)</f>
        <v>80.191800000000015</v>
      </c>
      <c r="P22" s="13">
        <f t="shared" si="33"/>
        <v>22.184073687979513</v>
      </c>
      <c r="Q22" s="20">
        <f t="shared" si="2"/>
        <v>178.30464667323099</v>
      </c>
      <c r="R22" s="59">
        <f t="shared" si="0"/>
        <v>471.63798000656431</v>
      </c>
      <c r="S22" s="59">
        <f ca="1">AVERAGE(OFFSET($R$3,0,0,'Données projet'!$E$9+1,1))-AVERAGE(OFFSET($H$3,0,0,'Données projet'!$E$9+1,1))</f>
        <v>252.28378247570731</v>
      </c>
      <c r="T22" s="59">
        <f t="shared" si="34"/>
        <v>263.50418595307343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2.9922766437794652</v>
      </c>
      <c r="AC22" s="22">
        <f t="shared" si="3"/>
        <v>2.9922766437794652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0</v>
      </c>
      <c r="AI22" s="13">
        <f>IF('Données projet'!$A$62&gt;35,AI21+AH22-AQ21,IF(A22&lt;'Données projet'!$A$62,$AF$205^A22,IF(A22='Données projet'!$A$62,'Données projet'!$B$62,AI21+AH22-AQ21)))</f>
        <v>0</v>
      </c>
      <c r="AJ22" s="13" t="e">
        <f>AI22*VLOOKUP('Données projet'!$B$10,Paramètres!$A$1:$I$89,3,0)*VLOOKUP('Données projet'!$B$10,Paramètres!$A$1:$I$89,5,0)</f>
        <v>#N/A</v>
      </c>
      <c r="AK22" s="13" t="e">
        <f t="shared" si="35"/>
        <v>#N/A</v>
      </c>
      <c r="AL22" s="20" t="e">
        <f t="shared" si="4"/>
        <v>#N/A</v>
      </c>
      <c r="AM22" s="59" t="e">
        <f t="shared" si="5"/>
        <v>#N/A</v>
      </c>
      <c r="AN22" s="59" t="e">
        <f ca="1">AVERAGE(OFFSET($AM$3,0,0,'Données projet'!$E$10+1,1))-AVERAGE(OFFSET($H$3,0,0,'Données projet'!$E$10+1,1))</f>
        <v>#N/A</v>
      </c>
      <c r="AO22" s="59" t="e">
        <f t="shared" si="36"/>
        <v>#N/A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 t="e">
        <f>EXP(-LN(2)/35)*AU21+(1-EXP(-LN(2)/35))/(LN(2)/35)*AQ22*AR22*VLOOKUP('Données projet'!$B$10,Paramètres!$A$1:$I$89,3,0)*0.475*44/12</f>
        <v>#N/A</v>
      </c>
      <c r="AV22" s="21" t="e">
        <f>EXP(-LN(2)/25)*AV21+(1-EXP(-LN(2)/25))/(LN(2)/25)*Calculateur!AQ22*Calculateur!AS22*VLOOKUP('Données projet'!$B$10,Paramètres!$A$1:$I$89,3,0)*0.475*44/12</f>
        <v>#N/A</v>
      </c>
      <c r="AW22" s="21" t="e">
        <f>EXP(-LN(2)/2)*AW21+(1-EXP(-LN(2)/2))/(LN(2)/2)*AQ22*AT22*VLOOKUP('Données projet'!$B$10,Paramètres!$A$1:$I$89,3,0)*0.475*44/12</f>
        <v>#N/A</v>
      </c>
      <c r="AX22" s="21" t="e">
        <f t="shared" si="6"/>
        <v>#N/A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1">
        <f t="shared" si="32"/>
        <v>3.810005372992582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7">
        <f t="shared" si="1"/>
        <v>318.98809269129538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151.30000000000001</v>
      </c>
      <c r="L23" s="12">
        <f>VLOOKUP(A23,'Données projet'!$A$35:$I$55,9,0)</f>
        <v>17.200000000000003</v>
      </c>
      <c r="M23" s="12">
        <f t="array" ref="M23">INDEX(L:L,MIN(IF(ISNUMBER(L23:L219),ROW(L23:L219),"")))</f>
        <v>17.200000000000003</v>
      </c>
      <c r="N23" s="13">
        <f>IF('Données projet'!$A$36&gt;35,N22+M23-V22,IF(A23&lt;'Données projet'!$A$36,$K$205^A23,IF(A23='Données projet'!$A$36,'Données projet'!$B$36,N22+M23-V22)))</f>
        <v>151.30000000000001</v>
      </c>
      <c r="O23" s="13">
        <f>N23*VLOOKUP('Données projet'!$B$9,Paramètres!$A$1:$I$89,3,0)*VLOOKUP('Données projet'!$B$9,Paramètres!$A$1:$I$89,5,0)</f>
        <v>90.477400000000017</v>
      </c>
      <c r="P23" s="13">
        <f t="shared" si="33"/>
        <v>24.680326903050478</v>
      </c>
      <c r="Q23" s="20">
        <f t="shared" si="2"/>
        <v>200.5663743561463</v>
      </c>
      <c r="R23" s="59">
        <f t="shared" si="0"/>
        <v>493.89970768947961</v>
      </c>
      <c r="S23" s="59">
        <f ca="1">AVERAGE(OFFSET($R$3,0,0,'Données projet'!$E$9+1,1))-AVERAGE(OFFSET($H$3,0,0,'Données projet'!$E$9+1,1))</f>
        <v>252.28378247570731</v>
      </c>
      <c r="T23" s="59">
        <f t="shared" si="34"/>
        <v>263.50418595307343</v>
      </c>
      <c r="U23" s="15">
        <f>IF(ISNA(VLOOKUP(A23,'Données projet'!$A$35:$I$55,3,0)),0,VLOOKUP(A23,'Données projet'!$A$35:$I$55,3,0))</f>
        <v>3</v>
      </c>
      <c r="V23" s="15">
        <f>IF(ISNA(VLOOKUP(A23,'Données projet'!$A$35:$I$55,4,0)),0,VLOOKUP(A23,'Données projet'!$A$35:$I$55,4,0))</f>
        <v>33.700000000000003</v>
      </c>
      <c r="W23" s="16">
        <f>IF(ISNA(VLOOKUP(A23,'Données projet'!$A$35:$I$55,5,0)),0%,VLOOKUP(A23,'Données projet'!$A$35:$I$55,5,0)*VLOOKUP('Données projet'!$B$9,Paramètres!$A$1:$I$89,7,0))</f>
        <v>9.0000000000000011E-2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0.6</v>
      </c>
      <c r="Z23" s="21">
        <f>EXP(-LN(2)/35)*Z22+(1-EXP(-LN(2)/35))/(LN(2)/35)*V23*W23*VLOOKUP('Données projet'!$B$9,Paramètres!$A$1:$I$89,3,0)*0.475*44/12</f>
        <v>2.4060350560221795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15.8063138654817</v>
      </c>
      <c r="AC23" s="22">
        <f t="shared" si="3"/>
        <v>18.212348921503878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0</v>
      </c>
      <c r="AI23" s="13">
        <f>IF('Données projet'!$A$62&gt;35,AI22+AH23-AQ22,IF(A23&lt;'Données projet'!$A$62,$AF$205^A23,IF(A23='Données projet'!$A$62,'Données projet'!$B$62,AI22+AH23-AQ22)))</f>
        <v>0</v>
      </c>
      <c r="AJ23" s="13" t="e">
        <f>AI23*VLOOKUP('Données projet'!$B$10,Paramètres!$A$1:$I$89,3,0)*VLOOKUP('Données projet'!$B$10,Paramètres!$A$1:$I$89,5,0)</f>
        <v>#N/A</v>
      </c>
      <c r="AK23" s="13" t="e">
        <f t="shared" si="35"/>
        <v>#N/A</v>
      </c>
      <c r="AL23" s="20" t="e">
        <f t="shared" si="4"/>
        <v>#N/A</v>
      </c>
      <c r="AM23" s="59" t="e">
        <f t="shared" si="5"/>
        <v>#N/A</v>
      </c>
      <c r="AN23" s="59" t="e">
        <f ca="1">AVERAGE(OFFSET($AM$3,0,0,'Données projet'!$E$10+1,1))-AVERAGE(OFFSET($H$3,0,0,'Données projet'!$E$10+1,1))</f>
        <v>#N/A</v>
      </c>
      <c r="AO23" s="59" t="e">
        <f t="shared" si="36"/>
        <v>#N/A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 t="e">
        <f>EXP(-LN(2)/35)*AU22+(1-EXP(-LN(2)/35))/(LN(2)/35)*AQ23*AR23*VLOOKUP('Données projet'!$B$10,Paramètres!$A$1:$I$89,3,0)*0.475*44/12</f>
        <v>#N/A</v>
      </c>
      <c r="AV23" s="21" t="e">
        <f>EXP(-LN(2)/25)*AV22+(1-EXP(-LN(2)/25))/(LN(2)/25)*Calculateur!AQ23*Calculateur!AS23*VLOOKUP('Données projet'!$B$10,Paramètres!$A$1:$I$89,3,0)*0.475*44/12</f>
        <v>#N/A</v>
      </c>
      <c r="AW23" s="21" t="e">
        <f>EXP(-LN(2)/2)*AW22+(1-EXP(-LN(2)/2))/(LN(2)/2)*AQ23*AT23*VLOOKUP('Données projet'!$B$10,Paramètres!$A$1:$I$89,3,0)*0.475*44/12</f>
        <v>#N/A</v>
      </c>
      <c r="AX23" s="21" t="e">
        <f t="shared" si="6"/>
        <v>#N/A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1">
        <f t="shared" si="32"/>
        <v>3.9778504618356041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7">
        <f t="shared" si="1"/>
        <v>320.23137288769698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19.899999999999995</v>
      </c>
      <c r="N24" s="13">
        <f>IF('Données projet'!$A$36&gt;35,N23+M24-V23,IF(A24&lt;'Données projet'!$A$36,$K$205^A24,IF(A24='Données projet'!$A$36,'Données projet'!$B$36,N23+M24-V23)))</f>
        <v>137.5</v>
      </c>
      <c r="O24" s="13">
        <f>N24*VLOOKUP('Données projet'!$B$9,Paramètres!$A$1:$I$89,3,0)*VLOOKUP('Données projet'!$B$9,Paramètres!$A$1:$I$89,5,0)</f>
        <v>82.225000000000009</v>
      </c>
      <c r="P24" s="13">
        <f t="shared" si="33"/>
        <v>22.680336573198979</v>
      </c>
      <c r="Q24" s="20">
        <f t="shared" si="2"/>
        <v>182.71012786498821</v>
      </c>
      <c r="R24" s="59">
        <f t="shared" si="0"/>
        <v>476.04346119832155</v>
      </c>
      <c r="S24" s="59">
        <f ca="1">AVERAGE(OFFSET($R$3,0,0,'Données projet'!$E$9+1,1))-AVERAGE(OFFSET($H$3,0,0,'Données projet'!$E$9+1,1))</f>
        <v>252.28378247570731</v>
      </c>
      <c r="T24" s="59">
        <f t="shared" si="34"/>
        <v>263.50418595307343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2.3588541761100617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11.176751719845061</v>
      </c>
      <c r="AC24" s="22">
        <f t="shared" si="3"/>
        <v>13.535605895955122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0</v>
      </c>
      <c r="AI24" s="13">
        <f>IF('Données projet'!$A$62&gt;35,AI23+AH24-AQ23,IF(A24&lt;'Données projet'!$A$62,$AF$205^A24,IF(A24='Données projet'!$A$62,'Données projet'!$B$62,AI23+AH24-AQ23)))</f>
        <v>0</v>
      </c>
      <c r="AJ24" s="13" t="e">
        <f>AI24*VLOOKUP('Données projet'!$B$10,Paramètres!$A$1:$I$89,3,0)*VLOOKUP('Données projet'!$B$10,Paramètres!$A$1:$I$89,5,0)</f>
        <v>#N/A</v>
      </c>
      <c r="AK24" s="13" t="e">
        <f t="shared" si="35"/>
        <v>#N/A</v>
      </c>
      <c r="AL24" s="20" t="e">
        <f t="shared" si="4"/>
        <v>#N/A</v>
      </c>
      <c r="AM24" s="59" t="e">
        <f t="shared" si="5"/>
        <v>#N/A</v>
      </c>
      <c r="AN24" s="59" t="e">
        <f ca="1">AVERAGE(OFFSET($AM$3,0,0,'Données projet'!$E$10+1,1))-AVERAGE(OFFSET($H$3,0,0,'Données projet'!$E$10+1,1))</f>
        <v>#N/A</v>
      </c>
      <c r="AO24" s="59" t="e">
        <f t="shared" si="36"/>
        <v>#N/A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 t="e">
        <f>EXP(-LN(2)/35)*AU23+(1-EXP(-LN(2)/35))/(LN(2)/35)*AQ24*AR24*VLOOKUP('Données projet'!$B$10,Paramètres!$A$1:$I$89,3,0)*0.475*44/12</f>
        <v>#N/A</v>
      </c>
      <c r="AV24" s="21" t="e">
        <f>EXP(-LN(2)/25)*AV23+(1-EXP(-LN(2)/25))/(LN(2)/25)*Calculateur!AQ24*Calculateur!AS24*VLOOKUP('Données projet'!$B$10,Paramètres!$A$1:$I$89,3,0)*0.475*44/12</f>
        <v>#N/A</v>
      </c>
      <c r="AW24" s="21" t="e">
        <f>EXP(-LN(2)/2)*AW23+(1-EXP(-LN(2)/2))/(LN(2)/2)*AQ24*AT24*VLOOKUP('Données projet'!$B$10,Paramètres!$A$1:$I$89,3,0)*0.475*44/12</f>
        <v>#N/A</v>
      </c>
      <c r="AX24" s="21" t="e">
        <f t="shared" si="6"/>
        <v>#N/A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1">
        <f t="shared" si="32"/>
        <v>4.1447674125853915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7">
        <f t="shared" si="1"/>
        <v>321.47303657691953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19.899999999999995</v>
      </c>
      <c r="N25" s="13">
        <f>IF('Données projet'!$A$36&gt;35,N24+M25-V24,IF(A25&lt;'Données projet'!$A$36,$K$205^A25,IF(A25='Données projet'!$A$36,'Données projet'!$B$36,N24+M25-V24)))</f>
        <v>157.4</v>
      </c>
      <c r="O25" s="13">
        <f>N25*VLOOKUP('Données projet'!$B$9,Paramètres!$A$1:$I$89,3,0)*VLOOKUP('Données projet'!$B$9,Paramètres!$A$1:$I$89,5,0)</f>
        <v>94.125200000000021</v>
      </c>
      <c r="P25" s="13">
        <f t="shared" si="33"/>
        <v>25.557514079834487</v>
      </c>
      <c r="Q25" s="20">
        <f t="shared" si="2"/>
        <v>208.44739368904513</v>
      </c>
      <c r="R25" s="59">
        <f t="shared" si="0"/>
        <v>501.78072702237841</v>
      </c>
      <c r="S25" s="59">
        <f ca="1">AVERAGE(OFFSET($R$3,0,0,'Données projet'!$E$9+1,1))-AVERAGE(OFFSET($H$3,0,0,'Données projet'!$E$9+1,1))</f>
        <v>252.28378247570731</v>
      </c>
      <c r="T25" s="59">
        <f t="shared" si="34"/>
        <v>263.50418595307343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2.312598484475525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7.9031569327408508</v>
      </c>
      <c r="AC25" s="22">
        <f t="shared" si="3"/>
        <v>10.215755417216375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0</v>
      </c>
      <c r="AI25" s="13">
        <f>IF('Données projet'!$A$62&gt;35,AI24+AH25-AQ24,IF(A25&lt;'Données projet'!$A$62,$AF$205^A25,IF(A25='Données projet'!$A$62,'Données projet'!$B$62,AI24+AH25-AQ24)))</f>
        <v>0</v>
      </c>
      <c r="AJ25" s="13" t="e">
        <f>AI25*VLOOKUP('Données projet'!$B$10,Paramètres!$A$1:$I$89,3,0)*VLOOKUP('Données projet'!$B$10,Paramètres!$A$1:$I$89,5,0)</f>
        <v>#N/A</v>
      </c>
      <c r="AK25" s="13" t="e">
        <f t="shared" si="35"/>
        <v>#N/A</v>
      </c>
      <c r="AL25" s="20" t="e">
        <f t="shared" si="4"/>
        <v>#N/A</v>
      </c>
      <c r="AM25" s="59" t="e">
        <f t="shared" si="5"/>
        <v>#N/A</v>
      </c>
      <c r="AN25" s="59" t="e">
        <f ca="1">AVERAGE(OFFSET($AM$3,0,0,'Données projet'!$E$10+1,1))-AVERAGE(OFFSET($H$3,0,0,'Données projet'!$E$10+1,1))</f>
        <v>#N/A</v>
      </c>
      <c r="AO25" s="59" t="e">
        <f t="shared" si="36"/>
        <v>#N/A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 t="e">
        <f>EXP(-LN(2)/35)*AU24+(1-EXP(-LN(2)/35))/(LN(2)/35)*AQ25*AR25*VLOOKUP('Données projet'!$B$10,Paramètres!$A$1:$I$89,3,0)*0.475*44/12</f>
        <v>#N/A</v>
      </c>
      <c r="AV25" s="21" t="e">
        <f>EXP(-LN(2)/25)*AV24+(1-EXP(-LN(2)/25))/(LN(2)/25)*Calculateur!AQ25*Calculateur!AS25*VLOOKUP('Données projet'!$B$10,Paramètres!$A$1:$I$89,3,0)*0.475*44/12</f>
        <v>#N/A</v>
      </c>
      <c r="AW25" s="21" t="e">
        <f>EXP(-LN(2)/2)*AW24+(1-EXP(-LN(2)/2))/(LN(2)/2)*AQ25*AT25*VLOOKUP('Données projet'!$B$10,Paramètres!$A$1:$I$89,3,0)*0.475*44/12</f>
        <v>#N/A</v>
      </c>
      <c r="AX25" s="21" t="e">
        <f t="shared" si="6"/>
        <v>#N/A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1">
        <f t="shared" si="32"/>
        <v>4.3108032327306516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7">
        <f t="shared" si="1"/>
        <v>322.71316563033918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19.899999999999995</v>
      </c>
      <c r="N26" s="13">
        <f>IF('Données projet'!$A$36&gt;35,N25+M26-V25,IF(A26&lt;'Données projet'!$A$36,$K$205^A26,IF(A26='Données projet'!$A$36,'Données projet'!$B$36,N25+M26-V25)))</f>
        <v>177.3</v>
      </c>
      <c r="O26" s="13">
        <f>N26*VLOOKUP('Données projet'!$B$9,Paramètres!$A$1:$I$89,3,0)*VLOOKUP('Données projet'!$B$9,Paramètres!$A$1:$I$89,5,0)</f>
        <v>106.02540000000002</v>
      </c>
      <c r="P26" s="13">
        <f t="shared" si="33"/>
        <v>28.392541537580129</v>
      </c>
      <c r="Q26" s="20">
        <f t="shared" si="2"/>
        <v>234.11124817795204</v>
      </c>
      <c r="R26" s="59">
        <f t="shared" si="0"/>
        <v>527.44458151128538</v>
      </c>
      <c r="S26" s="59">
        <f ca="1">AVERAGE(OFFSET($R$3,0,0,'Données projet'!$E$9+1,1))-AVERAGE(OFFSET($H$3,0,0,'Données projet'!$E$9+1,1))</f>
        <v>252.28378247570731</v>
      </c>
      <c r="T26" s="59">
        <f t="shared" si="34"/>
        <v>263.50418595307343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2.2672498387407556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5.5883758599225315</v>
      </c>
      <c r="AC26" s="22">
        <f t="shared" si="3"/>
        <v>7.8556256986632871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0</v>
      </c>
      <c r="AI26" s="13">
        <f>IF('Données projet'!$A$62&gt;35,AI25+AH26-AQ25,IF(A26&lt;'Données projet'!$A$62,$AF$205^A26,IF(A26='Données projet'!$A$62,'Données projet'!$B$62,AI25+AH26-AQ25)))</f>
        <v>0</v>
      </c>
      <c r="AJ26" s="13" t="e">
        <f>AI26*VLOOKUP('Données projet'!$B$10,Paramètres!$A$1:$I$89,3,0)*VLOOKUP('Données projet'!$B$10,Paramètres!$A$1:$I$89,5,0)</f>
        <v>#N/A</v>
      </c>
      <c r="AK26" s="13" t="e">
        <f t="shared" si="35"/>
        <v>#N/A</v>
      </c>
      <c r="AL26" s="20" t="e">
        <f t="shared" si="4"/>
        <v>#N/A</v>
      </c>
      <c r="AM26" s="59" t="e">
        <f t="shared" si="5"/>
        <v>#N/A</v>
      </c>
      <c r="AN26" s="59" t="e">
        <f ca="1">AVERAGE(OFFSET($AM$3,0,0,'Données projet'!$E$10+1,1))-AVERAGE(OFFSET($H$3,0,0,'Données projet'!$E$10+1,1))</f>
        <v>#N/A</v>
      </c>
      <c r="AO26" s="59" t="e">
        <f t="shared" si="36"/>
        <v>#N/A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 t="e">
        <f>EXP(-LN(2)/35)*AU25+(1-EXP(-LN(2)/35))/(LN(2)/35)*AQ26*AR26*VLOOKUP('Données projet'!$B$10,Paramètres!$A$1:$I$89,3,0)*0.475*44/12</f>
        <v>#N/A</v>
      </c>
      <c r="AV26" s="21" t="e">
        <f>EXP(-LN(2)/25)*AV25+(1-EXP(-LN(2)/25))/(LN(2)/25)*Calculateur!AQ26*Calculateur!AS26*VLOOKUP('Données projet'!$B$10,Paramètres!$A$1:$I$89,3,0)*0.475*44/12</f>
        <v>#N/A</v>
      </c>
      <c r="AW26" s="21" t="e">
        <f>EXP(-LN(2)/2)*AW25+(1-EXP(-LN(2)/2))/(LN(2)/2)*AQ26*AT26*VLOOKUP('Données projet'!$B$10,Paramètres!$A$1:$I$89,3,0)*0.475*44/12</f>
        <v>#N/A</v>
      </c>
      <c r="AX26" s="21" t="e">
        <f t="shared" si="6"/>
        <v>#N/A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1">
        <f t="shared" si="32"/>
        <v>4.4760006109979766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7">
        <f t="shared" si="1"/>
        <v>323.95183439748814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>
        <f>VLOOKUP(A27,'Données projet'!$A$35:$I$55,2,0)</f>
        <v>197.2</v>
      </c>
      <c r="L27" s="12">
        <f>VLOOKUP(A27,'Données projet'!$A$35:$I$55,9,0)</f>
        <v>19.899999999999995</v>
      </c>
      <c r="M27" s="12">
        <f t="array" ref="M27">INDEX(L:L,MIN(IF(ISNUMBER(L27:L223),ROW(L27:L223),"")))</f>
        <v>19.899999999999995</v>
      </c>
      <c r="N27" s="13">
        <f>IF('Données projet'!$A$36&gt;35,N26+M27-V26,IF(A27&lt;'Données projet'!$A$36,$K$205^A27,IF(A27='Données projet'!$A$36,'Données projet'!$B$36,N26+M27-V26)))</f>
        <v>197.20000000000002</v>
      </c>
      <c r="O27" s="13">
        <f>N27*VLOOKUP('Données projet'!$B$9,Paramètres!$A$1:$I$89,3,0)*VLOOKUP('Données projet'!$B$9,Paramètres!$A$1:$I$89,5,0)</f>
        <v>117.92560000000003</v>
      </c>
      <c r="P27" s="13">
        <f t="shared" si="33"/>
        <v>31.190689636070587</v>
      </c>
      <c r="Q27" s="20">
        <f t="shared" si="2"/>
        <v>259.71087111615634</v>
      </c>
      <c r="R27" s="59">
        <f t="shared" si="0"/>
        <v>553.0442044494896</v>
      </c>
      <c r="S27" s="59">
        <f ca="1">AVERAGE(OFFSET($R$3,0,0,'Données projet'!$E$9+1,1))-AVERAGE(OFFSET($H$3,0,0,'Données projet'!$E$9+1,1))</f>
        <v>252.28378247570731</v>
      </c>
      <c r="T27" s="59">
        <f t="shared" si="34"/>
        <v>263.50418595307343</v>
      </c>
      <c r="U27" s="15">
        <f>IF(ISNA(VLOOKUP(A27,'Données projet'!$A$35:$I$55,3,0)),0,VLOOKUP(A27,'Données projet'!$A$35:$I$55,3,0))</f>
        <v>4</v>
      </c>
      <c r="V27" s="15">
        <f>IF(ISNA(VLOOKUP(A27,'Données projet'!$A$35:$I$55,4,0)),0,VLOOKUP(A27,'Données projet'!$A$35:$I$55,4,0))</f>
        <v>42.9</v>
      </c>
      <c r="W27" s="16">
        <f>IF(ISNA(VLOOKUP(A27,'Données projet'!$A$35:$I$55,5,0)),0%,VLOOKUP(A27,'Données projet'!$A$35:$I$55,5,0)*VLOOKUP('Données projet'!$B$9,Paramètres!$A$1:$I$89,7,0))</f>
        <v>0.13500000000000001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0.5</v>
      </c>
      <c r="Z27" s="21">
        <f>EXP(-LN(2)/35)*Z26+(1-EXP(-LN(2)/35))/(LN(2)/35)*V27*W27*VLOOKUP('Données projet'!$B$9,Paramètres!$A$1:$I$89,3,0)*0.475*44/12</f>
        <v>6.8171036824084048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18.474835369972155</v>
      </c>
      <c r="AC27" s="22">
        <f t="shared" si="3"/>
        <v>25.29193905238056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0</v>
      </c>
      <c r="AI27" s="13">
        <f>IF('Données projet'!$A$62&gt;35,AI26+AH27-AQ26,IF(A27&lt;'Données projet'!$A$62,$AF$205^A27,IF(A27='Données projet'!$A$62,'Données projet'!$B$62,AI26+AH27-AQ26)))</f>
        <v>0</v>
      </c>
      <c r="AJ27" s="13" t="e">
        <f>AI27*VLOOKUP('Données projet'!$B$10,Paramètres!$A$1:$I$89,3,0)*VLOOKUP('Données projet'!$B$10,Paramètres!$A$1:$I$89,5,0)</f>
        <v>#N/A</v>
      </c>
      <c r="AK27" s="13" t="e">
        <f t="shared" si="35"/>
        <v>#N/A</v>
      </c>
      <c r="AL27" s="20" t="e">
        <f t="shared" si="4"/>
        <v>#N/A</v>
      </c>
      <c r="AM27" s="59" t="e">
        <f t="shared" si="5"/>
        <v>#N/A</v>
      </c>
      <c r="AN27" s="59" t="e">
        <f ca="1">AVERAGE(OFFSET($AM$3,0,0,'Données projet'!$E$10+1,1))-AVERAGE(OFFSET($H$3,0,0,'Données projet'!$E$10+1,1))</f>
        <v>#N/A</v>
      </c>
      <c r="AO27" s="59" t="e">
        <f t="shared" si="36"/>
        <v>#N/A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 t="e">
        <f>EXP(-LN(2)/35)*AU26+(1-EXP(-LN(2)/35))/(LN(2)/35)*AQ27*AR27*VLOOKUP('Données projet'!$B$10,Paramètres!$A$1:$I$89,3,0)*0.475*44/12</f>
        <v>#N/A</v>
      </c>
      <c r="AV27" s="21" t="e">
        <f>EXP(-LN(2)/25)*AV26+(1-EXP(-LN(2)/25))/(LN(2)/25)*Calculateur!AQ27*Calculateur!AS27*VLOOKUP('Données projet'!$B$10,Paramètres!$A$1:$I$89,3,0)*0.475*44/12</f>
        <v>#N/A</v>
      </c>
      <c r="AW27" s="21" t="e">
        <f>EXP(-LN(2)/2)*AW26+(1-EXP(-LN(2)/2))/(LN(2)/2)*AQ27*AT27*VLOOKUP('Données projet'!$B$10,Paramètres!$A$1:$I$89,3,0)*0.475*44/12</f>
        <v>#N/A</v>
      </c>
      <c r="AX27" s="21" t="e">
        <f t="shared" si="6"/>
        <v>#N/A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1">
        <f t="shared" si="32"/>
        <v>4.6403984774572109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7">
        <f t="shared" si="1"/>
        <v>325.18911068157126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19.875</v>
      </c>
      <c r="N28" s="13">
        <f>IF('Données projet'!$A$36&gt;35,N27+M28-V27,IF(A28&lt;'Données projet'!$A$36,$K$205^A28,IF(A28='Données projet'!$A$36,'Données projet'!$B$36,N27+M28-V27)))</f>
        <v>174.17500000000001</v>
      </c>
      <c r="O28" s="13">
        <f>N28*VLOOKUP('Données projet'!$B$9,Paramètres!$A$1:$I$89,3,0)*VLOOKUP('Données projet'!$B$9,Paramètres!$A$1:$I$89,5,0)</f>
        <v>104.15665000000001</v>
      </c>
      <c r="P28" s="13">
        <f t="shared" si="33"/>
        <v>27.949902735136092</v>
      </c>
      <c r="Q28" s="20">
        <f t="shared" si="2"/>
        <v>230.08557934702876</v>
      </c>
      <c r="R28" s="59">
        <f t="shared" si="0"/>
        <v>523.41891268036204</v>
      </c>
      <c r="S28" s="59">
        <f ca="1">AVERAGE(OFFSET($R$3,0,0,'Données projet'!$E$9+1,1))-AVERAGE(OFFSET($H$3,0,0,'Données projet'!$E$9+1,1))</f>
        <v>252.28378247570731</v>
      </c>
      <c r="T28" s="59">
        <f t="shared" si="34"/>
        <v>263.50418595307343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6.6834244372190517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13.06368137141239</v>
      </c>
      <c r="AC28" s="22">
        <f t="shared" si="3"/>
        <v>19.747105808631442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0</v>
      </c>
      <c r="AI28" s="13">
        <f>IF('Données projet'!$A$62&gt;35,AI27+AH28-AQ27,IF(A28&lt;'Données projet'!$A$62,$AF$205^A28,IF(A28='Données projet'!$A$62,'Données projet'!$B$62,AI27+AH28-AQ27)))</f>
        <v>0</v>
      </c>
      <c r="AJ28" s="13" t="e">
        <f>AI28*VLOOKUP('Données projet'!$B$10,Paramètres!$A$1:$I$89,3,0)*VLOOKUP('Données projet'!$B$10,Paramètres!$A$1:$I$89,5,0)</f>
        <v>#N/A</v>
      </c>
      <c r="AK28" s="13" t="e">
        <f t="shared" si="35"/>
        <v>#N/A</v>
      </c>
      <c r="AL28" s="20" t="e">
        <f t="shared" si="4"/>
        <v>#N/A</v>
      </c>
      <c r="AM28" s="59" t="e">
        <f t="shared" si="5"/>
        <v>#N/A</v>
      </c>
      <c r="AN28" s="59" t="e">
        <f ca="1">AVERAGE(OFFSET($AM$3,0,0,'Données projet'!$E$10+1,1))-AVERAGE(OFFSET($H$3,0,0,'Données projet'!$E$10+1,1))</f>
        <v>#N/A</v>
      </c>
      <c r="AO28" s="59" t="e">
        <f t="shared" si="36"/>
        <v>#N/A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 t="e">
        <f>EXP(-LN(2)/35)*AU27+(1-EXP(-LN(2)/35))/(LN(2)/35)*AQ28*AR28*VLOOKUP('Données projet'!$B$10,Paramètres!$A$1:$I$89,3,0)*0.475*44/12</f>
        <v>#N/A</v>
      </c>
      <c r="AV28" s="21" t="e">
        <f>EXP(-LN(2)/25)*AV27+(1-EXP(-LN(2)/25))/(LN(2)/25)*Calculateur!AQ28*Calculateur!AS28*VLOOKUP('Données projet'!$B$10,Paramètres!$A$1:$I$89,3,0)*0.475*44/12</f>
        <v>#N/A</v>
      </c>
      <c r="AW28" s="21" t="e">
        <f>EXP(-LN(2)/2)*AW27+(1-EXP(-LN(2)/2))/(LN(2)/2)*AQ28*AT28*VLOOKUP('Données projet'!$B$10,Paramètres!$A$1:$I$89,3,0)*0.475*44/12</f>
        <v>#N/A</v>
      </c>
      <c r="AX28" s="21" t="e">
        <f t="shared" si="6"/>
        <v>#N/A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1">
        <f t="shared" si="32"/>
        <v>4.8040324714872957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7">
        <f t="shared" si="1"/>
        <v>326.42505655450702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19.875</v>
      </c>
      <c r="N29" s="13">
        <f>IF('Données projet'!$A$36&gt;35,N28+M29-V28,IF(A29&lt;'Données projet'!$A$36,$K$205^A29,IF(A29='Données projet'!$A$36,'Données projet'!$B$36,N28+M29-V28)))</f>
        <v>194.05</v>
      </c>
      <c r="O29" s="13">
        <f>N29*VLOOKUP('Données projet'!$B$9,Paramètres!$A$1:$I$89,3,0)*VLOOKUP('Données projet'!$B$9,Paramètres!$A$1:$I$89,5,0)</f>
        <v>116.04190000000001</v>
      </c>
      <c r="P29" s="13">
        <f t="shared" si="33"/>
        <v>30.750043154423295</v>
      </c>
      <c r="Q29" s="20">
        <f t="shared" si="2"/>
        <v>255.66263432728726</v>
      </c>
      <c r="R29" s="59">
        <f t="shared" si="0"/>
        <v>548.99596766062064</v>
      </c>
      <c r="S29" s="59">
        <f ca="1">AVERAGE(OFFSET($R$3,0,0,'Données projet'!$E$9+1,1))-AVERAGE(OFFSET($H$3,0,0,'Données projet'!$E$9+1,1))</f>
        <v>252.28378247570731</v>
      </c>
      <c r="T29" s="59">
        <f t="shared" si="34"/>
        <v>263.50418595307343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6.5523665604915733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9.2374176849860774</v>
      </c>
      <c r="AC29" s="22">
        <f t="shared" si="3"/>
        <v>15.789784245477652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0</v>
      </c>
      <c r="AI29" s="13">
        <f>IF('Données projet'!$A$62&gt;35,AI28+AH29-AQ28,IF(A29&lt;'Données projet'!$A$62,$AF$205^A29,IF(A29='Données projet'!$A$62,'Données projet'!$B$62,AI28+AH29-AQ28)))</f>
        <v>0</v>
      </c>
      <c r="AJ29" s="13" t="e">
        <f>AI29*VLOOKUP('Données projet'!$B$10,Paramètres!$A$1:$I$89,3,0)*VLOOKUP('Données projet'!$B$10,Paramètres!$A$1:$I$89,5,0)</f>
        <v>#N/A</v>
      </c>
      <c r="AK29" s="13" t="e">
        <f t="shared" si="35"/>
        <v>#N/A</v>
      </c>
      <c r="AL29" s="20" t="e">
        <f t="shared" si="4"/>
        <v>#N/A</v>
      </c>
      <c r="AM29" s="59" t="e">
        <f t="shared" si="5"/>
        <v>#N/A</v>
      </c>
      <c r="AN29" s="59" t="e">
        <f ca="1">AVERAGE(OFFSET($AM$3,0,0,'Données projet'!$E$10+1,1))-AVERAGE(OFFSET($H$3,0,0,'Données projet'!$E$10+1,1))</f>
        <v>#N/A</v>
      </c>
      <c r="AO29" s="59" t="e">
        <f t="shared" si="36"/>
        <v>#N/A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 t="e">
        <f>EXP(-LN(2)/35)*AU28+(1-EXP(-LN(2)/35))/(LN(2)/35)*AQ29*AR29*VLOOKUP('Données projet'!$B$10,Paramètres!$A$1:$I$89,3,0)*0.475*44/12</f>
        <v>#N/A</v>
      </c>
      <c r="AV29" s="21" t="e">
        <f>EXP(-LN(2)/25)*AV28+(1-EXP(-LN(2)/25))/(LN(2)/25)*Calculateur!AQ29*Calculateur!AS29*VLOOKUP('Données projet'!$B$10,Paramètres!$A$1:$I$89,3,0)*0.475*44/12</f>
        <v>#N/A</v>
      </c>
      <c r="AW29" s="21" t="e">
        <f>EXP(-LN(2)/2)*AW28+(1-EXP(-LN(2)/2))/(LN(2)/2)*AQ29*AT29*VLOOKUP('Données projet'!$B$10,Paramètres!$A$1:$I$89,3,0)*0.475*44/12</f>
        <v>#N/A</v>
      </c>
      <c r="AX29" s="21" t="e">
        <f t="shared" si="6"/>
        <v>#N/A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1">
        <f t="shared" si="32"/>
        <v>4.9669353357224146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7">
        <f t="shared" si="1"/>
        <v>327.65972904304982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19.875</v>
      </c>
      <c r="N30" s="13">
        <f>IF('Données projet'!$A$36&gt;35,N29+M30-V29,IF(A30&lt;'Données projet'!$A$36,$K$205^A30,IF(A30='Données projet'!$A$36,'Données projet'!$B$36,N29+M30-V29)))</f>
        <v>213.92500000000001</v>
      </c>
      <c r="O30" s="13">
        <f>N30*VLOOKUP('Données projet'!$B$9,Paramètres!$A$1:$I$89,3,0)*VLOOKUP('Données projet'!$B$9,Paramètres!$A$1:$I$89,5,0)</f>
        <v>127.92715000000001</v>
      </c>
      <c r="P30" s="13">
        <f t="shared" si="33"/>
        <v>33.51693740969332</v>
      </c>
      <c r="Q30" s="20">
        <f t="shared" si="2"/>
        <v>281.18178557188253</v>
      </c>
      <c r="R30" s="59">
        <f t="shared" si="0"/>
        <v>574.51511890521579</v>
      </c>
      <c r="S30" s="59">
        <f ca="1">AVERAGE(OFFSET($R$3,0,0,'Données projet'!$E$9+1,1))-AVERAGE(OFFSET($H$3,0,0,'Données projet'!$E$9+1,1))</f>
        <v>252.28378247570731</v>
      </c>
      <c r="T30" s="59">
        <f t="shared" si="34"/>
        <v>263.50418595307343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6.4238786487893087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6.5318406857061948</v>
      </c>
      <c r="AC30" s="22">
        <f t="shared" si="3"/>
        <v>12.955719334495504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0</v>
      </c>
      <c r="AI30" s="13">
        <f>IF('Données projet'!$A$62&gt;35,AI29+AH30-AQ29,IF(A30&lt;'Données projet'!$A$62,$AF$205^A30,IF(A30='Données projet'!$A$62,'Données projet'!$B$62,AI29+AH30-AQ29)))</f>
        <v>0</v>
      </c>
      <c r="AJ30" s="13" t="e">
        <f>AI30*VLOOKUP('Données projet'!$B$10,Paramètres!$A$1:$I$89,3,0)*VLOOKUP('Données projet'!$B$10,Paramètres!$A$1:$I$89,5,0)</f>
        <v>#N/A</v>
      </c>
      <c r="AK30" s="13" t="e">
        <f t="shared" si="35"/>
        <v>#N/A</v>
      </c>
      <c r="AL30" s="20" t="e">
        <f t="shared" si="4"/>
        <v>#N/A</v>
      </c>
      <c r="AM30" s="59" t="e">
        <f t="shared" si="5"/>
        <v>#N/A</v>
      </c>
      <c r="AN30" s="59" t="e">
        <f ca="1">AVERAGE(OFFSET($AM$3,0,0,'Données projet'!$E$10+1,1))-AVERAGE(OFFSET($H$3,0,0,'Données projet'!$E$10+1,1))</f>
        <v>#N/A</v>
      </c>
      <c r="AO30" s="59" t="e">
        <f t="shared" si="36"/>
        <v>#N/A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 t="e">
        <f>EXP(-LN(2)/35)*AU29+(1-EXP(-LN(2)/35))/(LN(2)/35)*AQ30*AR30*VLOOKUP('Données projet'!$B$10,Paramètres!$A$1:$I$89,3,0)*0.475*44/12</f>
        <v>#N/A</v>
      </c>
      <c r="AV30" s="21" t="e">
        <f>EXP(-LN(2)/25)*AV29+(1-EXP(-LN(2)/25))/(LN(2)/25)*Calculateur!AQ30*Calculateur!AS30*VLOOKUP('Données projet'!$B$10,Paramètres!$A$1:$I$89,3,0)*0.475*44/12</f>
        <v>#N/A</v>
      </c>
      <c r="AW30" s="21" t="e">
        <f>EXP(-LN(2)/2)*AW29+(1-EXP(-LN(2)/2))/(LN(2)/2)*AQ30*AT30*VLOOKUP('Données projet'!$B$10,Paramètres!$A$1:$I$89,3,0)*0.475*44/12</f>
        <v>#N/A</v>
      </c>
      <c r="AX30" s="21" t="e">
        <f t="shared" si="6"/>
        <v>#N/A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1">
        <f t="shared" si="32"/>
        <v>5.1291372499950274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7">
        <f t="shared" si="1"/>
        <v>328.89318071040799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>
        <f>VLOOKUP(A31,'Données projet'!$A$35:$I$55,2,0)</f>
        <v>233.79999999999998</v>
      </c>
      <c r="L31" s="12">
        <f>VLOOKUP(A31,'Données projet'!$A$35:$I$55,9,0)</f>
        <v>19.875</v>
      </c>
      <c r="M31" s="12">
        <f t="array" ref="M31">INDEX(L:L,MIN(IF(ISNUMBER(L31:L227),ROW(L31:L227),"")))</f>
        <v>19.875</v>
      </c>
      <c r="N31" s="13">
        <f>IF('Données projet'!$A$36&gt;35,N30+M31-V30,IF(A31&lt;'Données projet'!$A$36,$K$205^A31,IF(A31='Données projet'!$A$36,'Données projet'!$B$36,N30+M31-V30)))</f>
        <v>233.8</v>
      </c>
      <c r="O31" s="13">
        <f>N31*VLOOKUP('Données projet'!$B$9,Paramètres!$A$1:$I$89,3,0)*VLOOKUP('Données projet'!$B$9,Paramètres!$A$1:$I$89,5,0)</f>
        <v>139.81240000000003</v>
      </c>
      <c r="P31" s="13">
        <f t="shared" si="33"/>
        <v>36.254025616047976</v>
      </c>
      <c r="Q31" s="20">
        <f t="shared" si="2"/>
        <v>306.64902461461696</v>
      </c>
      <c r="R31" s="59">
        <f t="shared" si="0"/>
        <v>599.98235794795028</v>
      </c>
      <c r="S31" s="59">
        <f ca="1">AVERAGE(OFFSET($R$3,0,0,'Données projet'!$E$9+1,1))-AVERAGE(OFFSET($H$3,0,0,'Données projet'!$E$9+1,1))</f>
        <v>252.28378247570731</v>
      </c>
      <c r="T31" s="59">
        <f t="shared" si="34"/>
        <v>263.50418595307343</v>
      </c>
      <c r="U31" s="15">
        <f>IF(ISNA(VLOOKUP(A31,'Données projet'!$A$35:$I$55,3,0)),0,VLOOKUP(A31,'Données projet'!$A$35:$I$55,3,0))</f>
        <v>5</v>
      </c>
      <c r="V31" s="15">
        <f>IF(ISNA(VLOOKUP(A31,'Données projet'!$A$35:$I$55,4,0)),0,VLOOKUP(A31,'Données projet'!$A$35:$I$55,4,0))</f>
        <v>41.4</v>
      </c>
      <c r="W31" s="16">
        <f>IF(ISNA(VLOOKUP(A31,'Données projet'!$A$35:$I$55,5,0)),0%,VLOOKUP(A31,'Données projet'!$A$35:$I$55,5,0)*VLOOKUP('Données projet'!$B$9,Paramètres!$A$1:$I$89,7,0))</f>
        <v>0.22500000000000001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0.4</v>
      </c>
      <c r="Z31" s="21">
        <f>EXP(-LN(2)/35)*Z30+(1-EXP(-LN(2)/35))/(LN(2)/35)*V31*W31*VLOOKUP('Données projet'!$B$9,Paramètres!$A$1:$I$89,3,0)*0.475*44/12</f>
        <v>13.68736515231239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15.831069417021927</v>
      </c>
      <c r="AC31" s="22">
        <f t="shared" si="3"/>
        <v>29.518434569334318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0</v>
      </c>
      <c r="AI31" s="13">
        <f>IF('Données projet'!$A$62&gt;35,AI30+AH31-AQ30,IF(A31&lt;'Données projet'!$A$62,$AF$205^A31,IF(A31='Données projet'!$A$62,'Données projet'!$B$62,AI30+AH31-AQ30)))</f>
        <v>0</v>
      </c>
      <c r="AJ31" s="13" t="e">
        <f>AI31*VLOOKUP('Données projet'!$B$10,Paramètres!$A$1:$I$89,3,0)*VLOOKUP('Données projet'!$B$10,Paramètres!$A$1:$I$89,5,0)</f>
        <v>#N/A</v>
      </c>
      <c r="AK31" s="13" t="e">
        <f t="shared" si="35"/>
        <v>#N/A</v>
      </c>
      <c r="AL31" s="20" t="e">
        <f t="shared" si="4"/>
        <v>#N/A</v>
      </c>
      <c r="AM31" s="59" t="e">
        <f t="shared" si="5"/>
        <v>#N/A</v>
      </c>
      <c r="AN31" s="59" t="e">
        <f ca="1">AVERAGE(OFFSET($AM$3,0,0,'Données projet'!$E$10+1,1))-AVERAGE(OFFSET($H$3,0,0,'Données projet'!$E$10+1,1))</f>
        <v>#N/A</v>
      </c>
      <c r="AO31" s="59" t="e">
        <f t="shared" si="36"/>
        <v>#N/A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 t="e">
        <f>EXP(-LN(2)/35)*AU30+(1-EXP(-LN(2)/35))/(LN(2)/35)*AQ31*AR31*VLOOKUP('Données projet'!$B$10,Paramètres!$A$1:$I$89,3,0)*0.475*44/12</f>
        <v>#N/A</v>
      </c>
      <c r="AV31" s="21" t="e">
        <f>EXP(-LN(2)/25)*AV30+(1-EXP(-LN(2)/25))/(LN(2)/25)*Calculateur!AQ31*Calculateur!AS31*VLOOKUP('Données projet'!$B$10,Paramètres!$A$1:$I$89,3,0)*0.475*44/12</f>
        <v>#N/A</v>
      </c>
      <c r="AW31" s="21" t="e">
        <f>EXP(-LN(2)/2)*AW30+(1-EXP(-LN(2)/2))/(LN(2)/2)*AQ31*AT31*VLOOKUP('Données projet'!$B$10,Paramètres!$A$1:$I$89,3,0)*0.475*44/12</f>
        <v>#N/A</v>
      </c>
      <c r="AX31" s="21" t="e">
        <f t="shared" si="6"/>
        <v>#N/A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1">
        <f t="shared" si="32"/>
        <v>5.2906661162322051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7">
        <f t="shared" si="1"/>
        <v>330.12546015243771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18.700000000000006</v>
      </c>
      <c r="N32" s="13">
        <f>IF('Données projet'!$A$36&gt;35,N31+M32-V31,IF(A32&lt;'Données projet'!$A$36,$K$205^A32,IF(A32='Données projet'!$A$36,'Données projet'!$B$36,N31+M32-V31)))</f>
        <v>211.10000000000002</v>
      </c>
      <c r="O32" s="13">
        <f>N32*VLOOKUP('Données projet'!$B$9,Paramètres!$A$1:$I$89,3,0)*VLOOKUP('Données projet'!$B$9,Paramètres!$A$1:$I$89,5,0)</f>
        <v>126.23780000000002</v>
      </c>
      <c r="P32" s="13">
        <f t="shared" si="33"/>
        <v>33.12554513217659</v>
      </c>
      <c r="Q32" s="20">
        <f t="shared" si="2"/>
        <v>277.5578261052076</v>
      </c>
      <c r="R32" s="59">
        <f t="shared" si="0"/>
        <v>570.89115943854085</v>
      </c>
      <c r="S32" s="59">
        <f ca="1">AVERAGE(OFFSET($R$3,0,0,'Données projet'!$E$9+1,1))-AVERAGE(OFFSET($H$3,0,0,'Données projet'!$E$9+1,1))</f>
        <v>252.28378247570731</v>
      </c>
      <c r="T32" s="59">
        <f t="shared" si="34"/>
        <v>263.50418595307343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13.418964270143944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11.194256538211169</v>
      </c>
      <c r="AC32" s="22">
        <f t="shared" si="3"/>
        <v>24.613220808355113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0</v>
      </c>
      <c r="AI32" s="13">
        <f>IF('Données projet'!$A$62&gt;35,AI31+AH32-AQ31,IF(A32&lt;'Données projet'!$A$62,$AF$205^A32,IF(A32='Données projet'!$A$62,'Données projet'!$B$62,AI31+AH32-AQ31)))</f>
        <v>0</v>
      </c>
      <c r="AJ32" s="13" t="e">
        <f>AI32*VLOOKUP('Données projet'!$B$10,Paramètres!$A$1:$I$89,3,0)*VLOOKUP('Données projet'!$B$10,Paramètres!$A$1:$I$89,5,0)</f>
        <v>#N/A</v>
      </c>
      <c r="AK32" s="13" t="e">
        <f t="shared" si="35"/>
        <v>#N/A</v>
      </c>
      <c r="AL32" s="20" t="e">
        <f t="shared" si="4"/>
        <v>#N/A</v>
      </c>
      <c r="AM32" s="59" t="e">
        <f t="shared" si="5"/>
        <v>#N/A</v>
      </c>
      <c r="AN32" s="59" t="e">
        <f ca="1">AVERAGE(OFFSET($AM$3,0,0,'Données projet'!$E$10+1,1))-AVERAGE(OFFSET($H$3,0,0,'Données projet'!$E$10+1,1))</f>
        <v>#N/A</v>
      </c>
      <c r="AO32" s="59" t="e">
        <f t="shared" si="36"/>
        <v>#N/A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 t="e">
        <f>EXP(-LN(2)/35)*AU31+(1-EXP(-LN(2)/35))/(LN(2)/35)*AQ32*AR32*VLOOKUP('Données projet'!$B$10,Paramètres!$A$1:$I$89,3,0)*0.475*44/12</f>
        <v>#N/A</v>
      </c>
      <c r="AV32" s="21" t="e">
        <f>EXP(-LN(2)/25)*AV31+(1-EXP(-LN(2)/25))/(LN(2)/25)*Calculateur!AQ32*Calculateur!AS32*VLOOKUP('Données projet'!$B$10,Paramètres!$A$1:$I$89,3,0)*0.475*44/12</f>
        <v>#N/A</v>
      </c>
      <c r="AW32" s="21" t="e">
        <f>EXP(-LN(2)/2)*AW31+(1-EXP(-LN(2)/2))/(LN(2)/2)*AQ32*AT32*VLOOKUP('Données projet'!$B$10,Paramètres!$A$1:$I$89,3,0)*0.475*44/12</f>
        <v>#N/A</v>
      </c>
      <c r="AX32" s="21" t="e">
        <f t="shared" si="6"/>
        <v>#N/A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1">
        <f t="shared" si="32"/>
        <v>5.4515478029518807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7">
        <f t="shared" si="1"/>
        <v>331.35661242347447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18.700000000000006</v>
      </c>
      <c r="N33" s="13">
        <f>IF('Données projet'!$A$36&gt;35,N32+M33-V32,IF(A33&lt;'Données projet'!$A$36,$K$205^A33,IF(A33='Données projet'!$A$36,'Données projet'!$B$36,N32+M33-V32)))</f>
        <v>229.80000000000004</v>
      </c>
      <c r="O33" s="13">
        <f>N33*VLOOKUP('Données projet'!$B$9,Paramètres!$A$1:$I$89,3,0)*VLOOKUP('Données projet'!$B$9,Paramètres!$A$1:$I$89,5,0)</f>
        <v>137.42040000000003</v>
      </c>
      <c r="P33" s="13">
        <f t="shared" si="33"/>
        <v>35.705417249692559</v>
      </c>
      <c r="Q33" s="20">
        <f t="shared" si="2"/>
        <v>301.52746504321459</v>
      </c>
      <c r="R33" s="59">
        <f t="shared" si="0"/>
        <v>594.8607983765479</v>
      </c>
      <c r="S33" s="59">
        <f ca="1">AVERAGE(OFFSET($R$3,0,0,'Données projet'!$E$9+1,1))-AVERAGE(OFFSET($H$3,0,0,'Données projet'!$E$9+1,1))</f>
        <v>252.28378247570731</v>
      </c>
      <c r="T33" s="59">
        <f t="shared" si="34"/>
        <v>263.50418595307343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13.155826565566448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7.9155347085109646</v>
      </c>
      <c r="AC33" s="22">
        <f t="shared" si="3"/>
        <v>21.071361274077411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0</v>
      </c>
      <c r="AI33" s="13">
        <f>IF('Données projet'!$A$62&gt;35,AI32+AH33-AQ32,IF(A33&lt;'Données projet'!$A$62,$AF$205^A33,IF(A33='Données projet'!$A$62,'Données projet'!$B$62,AI32+AH33-AQ32)))</f>
        <v>0</v>
      </c>
      <c r="AJ33" s="13" t="e">
        <f>AI33*VLOOKUP('Données projet'!$B$10,Paramètres!$A$1:$I$89,3,0)*VLOOKUP('Données projet'!$B$10,Paramètres!$A$1:$I$89,5,0)</f>
        <v>#N/A</v>
      </c>
      <c r="AK33" s="13" t="e">
        <f t="shared" si="35"/>
        <v>#N/A</v>
      </c>
      <c r="AL33" s="20" t="e">
        <f t="shared" si="4"/>
        <v>#N/A</v>
      </c>
      <c r="AM33" s="59" t="e">
        <f t="shared" si="5"/>
        <v>#N/A</v>
      </c>
      <c r="AN33" s="59" t="e">
        <f ca="1">AVERAGE(OFFSET($AM$3,0,0,'Données projet'!$E$10+1,1))-AVERAGE(OFFSET($H$3,0,0,'Données projet'!$E$10+1,1))</f>
        <v>#N/A</v>
      </c>
      <c r="AO33" s="59" t="e">
        <f t="shared" si="36"/>
        <v>#N/A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 t="e">
        <f>EXP(-LN(2)/35)*AU32+(1-EXP(-LN(2)/35))/(LN(2)/35)*AQ33*AR33*VLOOKUP('Données projet'!$B$10,Paramètres!$A$1:$I$89,3,0)*0.475*44/12</f>
        <v>#N/A</v>
      </c>
      <c r="AV33" s="21" t="e">
        <f>EXP(-LN(2)/25)*AV32+(1-EXP(-LN(2)/25))/(LN(2)/25)*Calculateur!AQ33*Calculateur!AS33*VLOOKUP('Données projet'!$B$10,Paramètres!$A$1:$I$89,3,0)*0.475*44/12</f>
        <v>#N/A</v>
      </c>
      <c r="AW33" s="21" t="e">
        <f>EXP(-LN(2)/2)*AW32+(1-EXP(-LN(2)/2))/(LN(2)/2)*AQ33*AT33*VLOOKUP('Données projet'!$B$10,Paramètres!$A$1:$I$89,3,0)*0.475*44/12</f>
        <v>#N/A</v>
      </c>
      <c r="AX33" s="21" t="e">
        <f t="shared" si="6"/>
        <v>#N/A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1">
        <f t="shared" si="32"/>
        <v>5.6118063562438518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7">
        <f t="shared" si="1"/>
        <v>332.58667940379132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18.700000000000006</v>
      </c>
      <c r="N34" s="13">
        <f>IF('Données projet'!$A$36&gt;35,N33+M34-V33,IF(A34&lt;'Données projet'!$A$36,$K$205^A34,IF(A34='Données projet'!$A$36,'Données projet'!$B$36,N33+M34-V33)))</f>
        <v>248.50000000000006</v>
      </c>
      <c r="O34" s="13">
        <f>N34*VLOOKUP('Données projet'!$B$9,Paramètres!$A$1:$I$89,3,0)*VLOOKUP('Données projet'!$B$9,Paramètres!$A$1:$I$89,5,0)</f>
        <v>148.60300000000004</v>
      </c>
      <c r="P34" s="13">
        <f t="shared" si="33"/>
        <v>38.260939676613795</v>
      </c>
      <c r="Q34" s="20">
        <f t="shared" si="2"/>
        <v>325.45469493676904</v>
      </c>
      <c r="R34" s="59">
        <f t="shared" si="0"/>
        <v>618.78802827010236</v>
      </c>
      <c r="S34" s="59">
        <f ca="1">AVERAGE(OFFSET($R$3,0,0,'Données projet'!$E$9+1,1))-AVERAGE(OFFSET($H$3,0,0,'Données projet'!$E$9+1,1))</f>
        <v>252.28378247570731</v>
      </c>
      <c r="T34" s="59">
        <f t="shared" si="34"/>
        <v>263.50418595307343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12.897848830877566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5.5971282691055855</v>
      </c>
      <c r="AC34" s="22">
        <f t="shared" si="3"/>
        <v>18.494977099983153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0</v>
      </c>
      <c r="AJ34" s="13" t="e">
        <f>AI34*VLOOKUP('Données projet'!$B$10,Paramètres!$A$1:$I$89,3,0)*VLOOKUP('Données projet'!$B$10,Paramètres!$A$1:$I$89,5,0)</f>
        <v>#N/A</v>
      </c>
      <c r="AK34" s="13" t="e">
        <f t="shared" si="35"/>
        <v>#N/A</v>
      </c>
      <c r="AL34" s="20" t="e">
        <f t="shared" si="4"/>
        <v>#N/A</v>
      </c>
      <c r="AM34" s="59" t="e">
        <f t="shared" si="5"/>
        <v>#N/A</v>
      </c>
      <c r="AN34" s="59" t="e">
        <f ca="1">AVERAGE(OFFSET($AM$3,0,0,'Données projet'!$E$10+1,1))-AVERAGE(OFFSET($H$3,0,0,'Données projet'!$E$10+1,1))</f>
        <v>#N/A</v>
      </c>
      <c r="AO34" s="59" t="e">
        <f t="shared" si="36"/>
        <v>#N/A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 t="e">
        <f>EXP(-LN(2)/35)*AU33+(1-EXP(-LN(2)/35))/(LN(2)/35)*AQ34*AR34*VLOOKUP('Données projet'!$B$10,Paramètres!$A$1:$I$89,3,0)*0.475*44/12</f>
        <v>#N/A</v>
      </c>
      <c r="AV34" s="21" t="e">
        <f>EXP(-LN(2)/25)*AV33+(1-EXP(-LN(2)/25))/(LN(2)/25)*Calculateur!AQ34*Calculateur!AS34*VLOOKUP('Données projet'!$B$10,Paramètres!$A$1:$I$89,3,0)*0.475*44/12</f>
        <v>#N/A</v>
      </c>
      <c r="AW34" s="21" t="e">
        <f>EXP(-LN(2)/2)*AW33+(1-EXP(-LN(2)/2))/(LN(2)/2)*AQ34*AT34*VLOOKUP('Données projet'!$B$10,Paramètres!$A$1:$I$89,3,0)*0.475*44/12</f>
        <v>#N/A</v>
      </c>
      <c r="AX34" s="21" t="e">
        <f t="shared" si="6"/>
        <v>#N/A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1">
        <f t="shared" si="32"/>
        <v>5.7714641827626956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7">
        <f t="shared" si="1"/>
        <v>333.81570011831167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18.700000000000006</v>
      </c>
      <c r="N35" s="13">
        <f>IF('Données projet'!$A$36&gt;35,N34+M35-V34,IF(A35&lt;'Données projet'!$A$36,$K$205^A35,IF(A35='Données projet'!$A$36,'Données projet'!$B$36,N34+M35-V34)))</f>
        <v>267.20000000000005</v>
      </c>
      <c r="O35" s="13">
        <f>N35*VLOOKUP('Données projet'!$B$9,Paramètres!$A$1:$I$89,3,0)*VLOOKUP('Données projet'!$B$9,Paramètres!$A$1:$I$89,5,0)</f>
        <v>159.78560000000004</v>
      </c>
      <c r="P35" s="13">
        <f t="shared" si="33"/>
        <v>40.794153114967841</v>
      </c>
      <c r="Q35" s="20">
        <f t="shared" ref="Q35:Q66" si="53">(O35+P35)*0.475*44/12</f>
        <v>349.3430700085691</v>
      </c>
      <c r="R35" s="59">
        <f t="shared" si="0"/>
        <v>642.67640334190241</v>
      </c>
      <c r="S35" s="59">
        <f ca="1">AVERAGE(OFFSET($R$3,0,0,'Données projet'!$E$9+1,1))-AVERAGE(OFFSET($H$3,0,0,'Données projet'!$E$9+1,1))</f>
        <v>252.28378247570731</v>
      </c>
      <c r="T35" s="59">
        <f t="shared" si="34"/>
        <v>263.50418595307343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12.644929882215051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3.9577673542554832</v>
      </c>
      <c r="AC35" s="22">
        <f t="shared" si="3"/>
        <v>16.602697236470533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0</v>
      </c>
      <c r="AJ35" s="13" t="e">
        <f>AI35*VLOOKUP('Données projet'!$B$10,Paramètres!$A$1:$I$89,3,0)*VLOOKUP('Données projet'!$B$10,Paramètres!$A$1:$I$89,5,0)</f>
        <v>#N/A</v>
      </c>
      <c r="AK35" s="13" t="e">
        <f t="shared" si="35"/>
        <v>#N/A</v>
      </c>
      <c r="AL35" s="20" t="e">
        <f t="shared" si="4"/>
        <v>#N/A</v>
      </c>
      <c r="AM35" s="59" t="e">
        <f t="shared" si="5"/>
        <v>#N/A</v>
      </c>
      <c r="AN35" s="59" t="e">
        <f ca="1">AVERAGE(OFFSET($AM$3,0,0,'Données projet'!$E$10+1,1))-AVERAGE(OFFSET($H$3,0,0,'Données projet'!$E$10+1,1))</f>
        <v>#N/A</v>
      </c>
      <c r="AO35" s="59" t="e">
        <f t="shared" si="36"/>
        <v>#N/A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 t="e">
        <f>EXP(-LN(2)/35)*AU34+(1-EXP(-LN(2)/35))/(LN(2)/35)*AQ35*AR35*VLOOKUP('Données projet'!$B$10,Paramètres!$A$1:$I$89,3,0)*0.475*44/12</f>
        <v>#N/A</v>
      </c>
      <c r="AV35" s="21" t="e">
        <f>EXP(-LN(2)/25)*AV34+(1-EXP(-LN(2)/25))/(LN(2)/25)*Calculateur!AQ35*Calculateur!AS35*VLOOKUP('Données projet'!$B$10,Paramètres!$A$1:$I$89,3,0)*0.475*44/12</f>
        <v>#N/A</v>
      </c>
      <c r="AW35" s="21" t="e">
        <f>EXP(-LN(2)/2)*AW34+(1-EXP(-LN(2)/2))/(LN(2)/2)*AQ35*AT35*VLOOKUP('Données projet'!$B$10,Paramètres!$A$1:$I$89,3,0)*0.475*44/12</f>
        <v>#N/A</v>
      </c>
      <c r="AX35" s="21" t="e">
        <f t="shared" si="6"/>
        <v>#N/A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1">
        <f t="shared" si="32"/>
        <v>5.9305422092039777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7">
        <f t="shared" si="1"/>
        <v>335.04371101436357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18.700000000000006</v>
      </c>
      <c r="N36" s="13">
        <f>IF('Données projet'!$A$36&gt;35,N35+M36-V35,IF(A36&lt;'Données projet'!$A$36,$K$205^A36,IF(A36='Données projet'!$A$36,'Données projet'!$B$36,N35+M36-V35)))</f>
        <v>285.90000000000003</v>
      </c>
      <c r="O36" s="13">
        <f>N36*VLOOKUP('Données projet'!$B$9,Paramètres!$A$1:$I$89,3,0)*VLOOKUP('Données projet'!$B$9,Paramètres!$A$1:$I$89,5,0)</f>
        <v>170.96820000000002</v>
      </c>
      <c r="P36" s="13">
        <f t="shared" si="33"/>
        <v>43.306796452756018</v>
      </c>
      <c r="Q36" s="20">
        <f t="shared" si="53"/>
        <v>373.19561882188344</v>
      </c>
      <c r="R36" s="59">
        <f t="shared" si="0"/>
        <v>666.52895215521676</v>
      </c>
      <c r="S36" s="59">
        <f ca="1">AVERAGE(OFFSET($R$3,0,0,'Données projet'!$E$9+1,1))-AVERAGE(OFFSET($H$3,0,0,'Données projet'!$E$9+1,1))</f>
        <v>252.28378247570731</v>
      </c>
      <c r="T36" s="59">
        <f t="shared" si="34"/>
        <v>263.50418595307343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12.39697051987048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2.7985641345527932</v>
      </c>
      <c r="AC36" s="22">
        <f t="shared" si="3"/>
        <v>15.195534654423273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0</v>
      </c>
      <c r="AJ36" s="13" t="e">
        <f>AI36*VLOOKUP('Données projet'!$B$10,Paramètres!$A$1:$I$89,3,0)*VLOOKUP('Données projet'!$B$10,Paramètres!$A$1:$I$89,5,0)</f>
        <v>#N/A</v>
      </c>
      <c r="AK36" s="13" t="e">
        <f t="shared" si="35"/>
        <v>#N/A</v>
      </c>
      <c r="AL36" s="20" t="e">
        <f t="shared" si="4"/>
        <v>#N/A</v>
      </c>
      <c r="AM36" s="59" t="e">
        <f t="shared" si="5"/>
        <v>#N/A</v>
      </c>
      <c r="AN36" s="59" t="e">
        <f ca="1">AVERAGE(OFFSET($AM$3,0,0,'Données projet'!$E$10+1,1))-AVERAGE(OFFSET($H$3,0,0,'Données projet'!$E$10+1,1))</f>
        <v>#N/A</v>
      </c>
      <c r="AO36" s="59" t="e">
        <f t="shared" si="36"/>
        <v>#N/A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 t="e">
        <f>EXP(-LN(2)/35)*AU35+(1-EXP(-LN(2)/35))/(LN(2)/35)*AQ36*AR36*VLOOKUP('Données projet'!$B$10,Paramètres!$A$1:$I$89,3,0)*0.475*44/12</f>
        <v>#N/A</v>
      </c>
      <c r="AV36" s="21" t="e">
        <f>EXP(-LN(2)/25)*AV35+(1-EXP(-LN(2)/25))/(LN(2)/25)*Calculateur!AQ36*Calculateur!AS36*VLOOKUP('Données projet'!$B$10,Paramètres!$A$1:$I$89,3,0)*0.475*44/12</f>
        <v>#N/A</v>
      </c>
      <c r="AW36" s="21" t="e">
        <f>EXP(-LN(2)/2)*AW35+(1-EXP(-LN(2)/2))/(LN(2)/2)*AQ36*AT36*VLOOKUP('Données projet'!$B$10,Paramètres!$A$1:$I$89,3,0)*0.475*44/12</f>
        <v>#N/A</v>
      </c>
      <c r="AX36" s="21" t="e">
        <f t="shared" si="6"/>
        <v>#N/A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1">
        <f t="shared" si="32"/>
        <v>6.0890600219069135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7">
        <f t="shared" si="1"/>
        <v>336.27074620482119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>
        <f>VLOOKUP(A37,'Données projet'!$A$35:$I$55,2,0)</f>
        <v>304.60000000000002</v>
      </c>
      <c r="L37" s="12">
        <f>VLOOKUP(A37,'Données projet'!$A$35:$I$55,9,0)</f>
        <v>18.700000000000006</v>
      </c>
      <c r="M37" s="12">
        <f t="array" ref="M37">INDEX(L:L,MIN(IF(ISNUMBER(L37:L233),ROW(L37:L233),"")))</f>
        <v>18.700000000000006</v>
      </c>
      <c r="N37" s="13">
        <f>IF('Données projet'!$A$36&gt;35,N36+M37-V36,IF(A37&lt;'Données projet'!$A$36,$K$205^A37,IF(A37='Données projet'!$A$36,'Données projet'!$B$36,N36+M37-V36)))</f>
        <v>304.60000000000002</v>
      </c>
      <c r="O37" s="13">
        <f>N37*VLOOKUP('Données projet'!$B$9,Paramètres!$A$1:$I$89,3,0)*VLOOKUP('Données projet'!$B$9,Paramètres!$A$1:$I$89,5,0)</f>
        <v>182.15080000000003</v>
      </c>
      <c r="P37" s="13">
        <f t="shared" si="33"/>
        <v>45.800368240506849</v>
      </c>
      <c r="Q37" s="20">
        <f t="shared" si="53"/>
        <v>397.0149513522162</v>
      </c>
      <c r="R37" s="59">
        <f t="shared" si="0"/>
        <v>690.34828468554952</v>
      </c>
      <c r="S37" s="59">
        <f ca="1">AVERAGE(OFFSET($R$3,0,0,'Données projet'!$E$9+1,1))-AVERAGE(OFFSET($H$3,0,0,'Données projet'!$E$9+1,1))</f>
        <v>252.28378247570731</v>
      </c>
      <c r="T37" s="59">
        <f t="shared" si="34"/>
        <v>263.50418595307343</v>
      </c>
      <c r="U37" s="15">
        <f>IF(ISNA(VLOOKUP(A37,'Données projet'!$A$35:$I$55,3,0)),0,VLOOKUP(A37,'Données projet'!$A$35:$I$55,3,0))</f>
        <v>6</v>
      </c>
      <c r="V37" s="15">
        <f>IF(ISNA(VLOOKUP(A37,'Données projet'!$A$35:$I$55,4,0)),0,VLOOKUP(A37,'Données projet'!$A$35:$I$55,4,0))</f>
        <v>59.9</v>
      </c>
      <c r="W37" s="16">
        <f>IF(ISNA(VLOOKUP(A37,'Données projet'!$A$35:$I$55,5,0)),0%,VLOOKUP(A37,'Données projet'!$A$35:$I$55,5,0)*VLOOKUP('Données projet'!$B$9,Paramètres!$A$1:$I$89,7,0))</f>
        <v>0.315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0.2</v>
      </c>
      <c r="Z37" s="21">
        <f>EXP(-LN(2)/35)*Z36+(1-EXP(-LN(2)/35))/(LN(2)/35)*V37*W37*VLOOKUP('Données projet'!$B$9,Paramètres!$A$1:$I$89,3,0)*0.475*44/12</f>
        <v>27.121981783002866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10.090241145899245</v>
      </c>
      <c r="AC37" s="22">
        <f t="shared" si="3"/>
        <v>37.212222928902108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0</v>
      </c>
      <c r="AJ37" s="13" t="e">
        <f>AI37*VLOOKUP('Données projet'!$B$10,Paramètres!$A$1:$I$89,3,0)*VLOOKUP('Données projet'!$B$10,Paramètres!$A$1:$I$89,5,0)</f>
        <v>#N/A</v>
      </c>
      <c r="AK37" s="13" t="e">
        <f t="shared" si="35"/>
        <v>#N/A</v>
      </c>
      <c r="AL37" s="20" t="e">
        <f t="shared" si="4"/>
        <v>#N/A</v>
      </c>
      <c r="AM37" s="59" t="e">
        <f t="shared" si="5"/>
        <v>#N/A</v>
      </c>
      <c r="AN37" s="59" t="e">
        <f ca="1">AVERAGE(OFFSET($AM$3,0,0,'Données projet'!$E$10+1,1))-AVERAGE(OFFSET($H$3,0,0,'Données projet'!$E$10+1,1))</f>
        <v>#N/A</v>
      </c>
      <c r="AO37" s="59" t="e">
        <f t="shared" si="36"/>
        <v>#N/A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 t="e">
        <f>EXP(-LN(2)/35)*AU36+(1-EXP(-LN(2)/35))/(LN(2)/35)*AQ37*AR37*VLOOKUP('Données projet'!$B$10,Paramètres!$A$1:$I$89,3,0)*0.475*44/12</f>
        <v>#N/A</v>
      </c>
      <c r="AV37" s="21" t="e">
        <f>EXP(-LN(2)/25)*AV36+(1-EXP(-LN(2)/25))/(LN(2)/25)*Calculateur!AQ37*Calculateur!AS37*VLOOKUP('Données projet'!$B$10,Paramètres!$A$1:$I$89,3,0)*0.475*44/12</f>
        <v>#N/A</v>
      </c>
      <c r="AW37" s="21" t="e">
        <f>EXP(-LN(2)/2)*AW36+(1-EXP(-LN(2)/2))/(LN(2)/2)*AQ37*AT37*VLOOKUP('Données projet'!$B$10,Paramètres!$A$1:$I$89,3,0)*0.475*44/12</f>
        <v>#N/A</v>
      </c>
      <c r="AX37" s="21" t="e">
        <f t="shared" si="6"/>
        <v>#N/A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1">
        <f t="shared" si="32"/>
        <v>6.2470359895716463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7">
        <f t="shared" si="1"/>
        <v>337.49683768183723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14.850000000000009</v>
      </c>
      <c r="N38" s="13">
        <f>IF('Données projet'!$A$36&gt;35,N37+M38-V37,IF(A38&lt;'Données projet'!$A$36,$K$205^A38,IF(A38='Données projet'!$A$36,'Données projet'!$B$36,N37+M38-V37)))</f>
        <v>259.55000000000007</v>
      </c>
      <c r="O38" s="13">
        <f>N38*VLOOKUP('Données projet'!$B$9,Paramètres!$A$1:$I$89,3,0)*VLOOKUP('Données projet'!$B$9,Paramètres!$A$1:$I$89,5,0)</f>
        <v>155.21090000000007</v>
      </c>
      <c r="P38" s="13">
        <f t="shared" si="33"/>
        <v>39.760417498033199</v>
      </c>
      <c r="Q38" s="20">
        <f t="shared" si="53"/>
        <v>339.57504464240793</v>
      </c>
      <c r="R38" s="59">
        <f t="shared" si="0"/>
        <v>632.90837797574125</v>
      </c>
      <c r="S38" s="59">
        <f ca="1">AVERAGE(OFFSET($R$3,0,0,'Données projet'!$E$9+1,1))-AVERAGE(OFFSET($H$3,0,0,'Données projet'!$E$9+1,1))</f>
        <v>252.28378247570731</v>
      </c>
      <c r="T38" s="59">
        <f t="shared" si="34"/>
        <v>263.50418595307343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26.590136263013605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7.1348779380728766</v>
      </c>
      <c r="AC38" s="22">
        <f t="shared" si="3"/>
        <v>33.725014201086481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0</v>
      </c>
      <c r="AJ38" s="13" t="e">
        <f>AI38*VLOOKUP('Données projet'!$B$10,Paramètres!$A$1:$I$89,3,0)*VLOOKUP('Données projet'!$B$10,Paramètres!$A$1:$I$89,5,0)</f>
        <v>#N/A</v>
      </c>
      <c r="AK38" s="13" t="e">
        <f t="shared" si="35"/>
        <v>#N/A</v>
      </c>
      <c r="AL38" s="20" t="e">
        <f t="shared" si="4"/>
        <v>#N/A</v>
      </c>
      <c r="AM38" s="59" t="e">
        <f t="shared" si="5"/>
        <v>#N/A</v>
      </c>
      <c r="AN38" s="59" t="e">
        <f ca="1">AVERAGE(OFFSET($AM$3,0,0,'Données projet'!$E$10+1,1))-AVERAGE(OFFSET($H$3,0,0,'Données projet'!$E$10+1,1))</f>
        <v>#N/A</v>
      </c>
      <c r="AO38" s="59" t="e">
        <f t="shared" si="36"/>
        <v>#N/A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 t="e">
        <f>EXP(-LN(2)/35)*AU37+(1-EXP(-LN(2)/35))/(LN(2)/35)*AQ38*AR38*VLOOKUP('Données projet'!$B$10,Paramètres!$A$1:$I$89,3,0)*0.475*44/12</f>
        <v>#N/A</v>
      </c>
      <c r="AV38" s="21" t="e">
        <f>EXP(-LN(2)/25)*AV37+(1-EXP(-LN(2)/25))/(LN(2)/25)*Calculateur!AQ38*Calculateur!AS38*VLOOKUP('Données projet'!$B$10,Paramètres!$A$1:$I$89,3,0)*0.475*44/12</f>
        <v>#N/A</v>
      </c>
      <c r="AW38" s="21" t="e">
        <f>EXP(-LN(2)/2)*AW37+(1-EXP(-LN(2)/2))/(LN(2)/2)*AQ38*AT38*VLOOKUP('Données projet'!$B$10,Paramètres!$A$1:$I$89,3,0)*0.475*44/12</f>
        <v>#N/A</v>
      </c>
      <c r="AX38" s="21" t="e">
        <f t="shared" si="6"/>
        <v>#N/A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1">
        <f t="shared" si="32"/>
        <v>6.4044873715575248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7">
        <f t="shared" si="1"/>
        <v>338.72201550546265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14.850000000000009</v>
      </c>
      <c r="N39" s="13">
        <f>IF('Données projet'!$A$36&gt;35,N38+M39-V38,IF(A39&lt;'Données projet'!$A$36,$K$205^A39,IF(A39='Données projet'!$A$36,'Données projet'!$B$36,N38+M39-V38)))</f>
        <v>274.40000000000009</v>
      </c>
      <c r="O39" s="13">
        <f>N39*VLOOKUP('Données projet'!$B$9,Paramètres!$A$1:$I$89,3,0)*VLOOKUP('Données projet'!$B$9,Paramètres!$A$1:$I$89,5,0)</f>
        <v>164.09120000000007</v>
      </c>
      <c r="P39" s="13">
        <f t="shared" si="33"/>
        <v>41.763936620208121</v>
      </c>
      <c r="Q39" s="20">
        <f t="shared" si="53"/>
        <v>358.5310296135292</v>
      </c>
      <c r="R39" s="59">
        <f t="shared" si="0"/>
        <v>651.86436294686246</v>
      </c>
      <c r="S39" s="59">
        <f ca="1">AVERAGE(OFFSET($R$3,0,0,'Données projet'!$E$9+1,1))-AVERAGE(OFFSET($H$3,0,0,'Données projet'!$E$9+1,1))</f>
        <v>252.28378247570731</v>
      </c>
      <c r="T39" s="59">
        <f t="shared" si="34"/>
        <v>263.50418595307343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26.068719909277597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5.0451205729496236</v>
      </c>
      <c r="AC39" s="22">
        <f t="shared" si="3"/>
        <v>31.113840482227221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0</v>
      </c>
      <c r="AJ39" s="13" t="e">
        <f>AI39*VLOOKUP('Données projet'!$B$10,Paramètres!$A$1:$I$89,3,0)*VLOOKUP('Données projet'!$B$10,Paramètres!$A$1:$I$89,5,0)</f>
        <v>#N/A</v>
      </c>
      <c r="AK39" s="13" t="e">
        <f t="shared" si="35"/>
        <v>#N/A</v>
      </c>
      <c r="AL39" s="20" t="e">
        <f t="shared" si="4"/>
        <v>#N/A</v>
      </c>
      <c r="AM39" s="59" t="e">
        <f t="shared" si="5"/>
        <v>#N/A</v>
      </c>
      <c r="AN39" s="59" t="e">
        <f ca="1">AVERAGE(OFFSET($AM$3,0,0,'Données projet'!$E$10+1,1))-AVERAGE(OFFSET($H$3,0,0,'Données projet'!$E$10+1,1))</f>
        <v>#N/A</v>
      </c>
      <c r="AO39" s="59" t="e">
        <f t="shared" si="36"/>
        <v>#N/A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 t="e">
        <f>EXP(-LN(2)/35)*AU38+(1-EXP(-LN(2)/35))/(LN(2)/35)*AQ39*AR39*VLOOKUP('Données projet'!$B$10,Paramètres!$A$1:$I$89,3,0)*0.475*44/12</f>
        <v>#N/A</v>
      </c>
      <c r="AV39" s="21" t="e">
        <f>EXP(-LN(2)/25)*AV38+(1-EXP(-LN(2)/25))/(LN(2)/25)*Calculateur!AQ39*Calculateur!AS39*VLOOKUP('Données projet'!$B$10,Paramètres!$A$1:$I$89,3,0)*0.475*44/12</f>
        <v>#N/A</v>
      </c>
      <c r="AW39" s="21" t="e">
        <f>EXP(-LN(2)/2)*AW38+(1-EXP(-LN(2)/2))/(LN(2)/2)*AQ39*AT39*VLOOKUP('Données projet'!$B$10,Paramètres!$A$1:$I$89,3,0)*0.475*44/12</f>
        <v>#N/A</v>
      </c>
      <c r="AX39" s="21" t="e">
        <f t="shared" si="6"/>
        <v>#N/A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1">
        <f t="shared" si="32"/>
        <v>6.5614304138099282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7">
        <f t="shared" si="1"/>
        <v>339.94630797071892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14.850000000000009</v>
      </c>
      <c r="N40" s="13">
        <f>IF('Données projet'!$A$36&gt;35,N39+M40-V39,IF(A40&lt;'Données projet'!$A$36,$K$205^A40,IF(A40='Données projet'!$A$36,'Données projet'!$B$36,N39+M40-V39)))</f>
        <v>289.25000000000011</v>
      </c>
      <c r="O40" s="13">
        <f>N40*VLOOKUP('Données projet'!$B$9,Paramètres!$A$1:$I$89,3,0)*VLOOKUP('Données projet'!$B$9,Paramètres!$A$1:$I$89,5,0)</f>
        <v>172.97150000000008</v>
      </c>
      <c r="P40" s="13">
        <f t="shared" si="33"/>
        <v>43.754868068248705</v>
      </c>
      <c r="Q40" s="20">
        <f t="shared" si="53"/>
        <v>377.46509105219997</v>
      </c>
      <c r="R40" s="59">
        <f t="shared" si="0"/>
        <v>670.79842438553328</v>
      </c>
      <c r="S40" s="59">
        <f ca="1">AVERAGE(OFFSET($R$3,0,0,'Données projet'!$E$9+1,1))-AVERAGE(OFFSET($H$3,0,0,'Données projet'!$E$9+1,1))</f>
        <v>252.28378247570731</v>
      </c>
      <c r="T40" s="59">
        <f t="shared" si="34"/>
        <v>263.50418595307343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25.557528212205778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3.5674389690364392</v>
      </c>
      <c r="AC40" s="22">
        <f t="shared" si="3"/>
        <v>29.124967181242216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0</v>
      </c>
      <c r="AJ40" s="13" t="e">
        <f>AI40*VLOOKUP('Données projet'!$B$10,Paramètres!$A$1:$I$89,3,0)*VLOOKUP('Données projet'!$B$10,Paramètres!$A$1:$I$89,5,0)</f>
        <v>#N/A</v>
      </c>
      <c r="AK40" s="13" t="e">
        <f t="shared" si="35"/>
        <v>#N/A</v>
      </c>
      <c r="AL40" s="20" t="e">
        <f t="shared" si="4"/>
        <v>#N/A</v>
      </c>
      <c r="AM40" s="59" t="e">
        <f t="shared" si="5"/>
        <v>#N/A</v>
      </c>
      <c r="AN40" s="59" t="e">
        <f ca="1">AVERAGE(OFFSET($AM$3,0,0,'Données projet'!$E$10+1,1))-AVERAGE(OFFSET($H$3,0,0,'Données projet'!$E$10+1,1))</f>
        <v>#N/A</v>
      </c>
      <c r="AO40" s="59" t="e">
        <f t="shared" si="36"/>
        <v>#N/A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 t="e">
        <f>EXP(-LN(2)/35)*AU39+(1-EXP(-LN(2)/35))/(LN(2)/35)*AQ40*AR40*VLOOKUP('Données projet'!$B$10,Paramètres!$A$1:$I$89,3,0)*0.475*44/12</f>
        <v>#N/A</v>
      </c>
      <c r="AV40" s="21" t="e">
        <f>EXP(-LN(2)/25)*AV39+(1-EXP(-LN(2)/25))/(LN(2)/25)*Calculateur!AQ40*Calculateur!AS40*VLOOKUP('Données projet'!$B$10,Paramètres!$A$1:$I$89,3,0)*0.475*44/12</f>
        <v>#N/A</v>
      </c>
      <c r="AW40" s="21" t="e">
        <f>EXP(-LN(2)/2)*AW39+(1-EXP(-LN(2)/2))/(LN(2)/2)*AQ40*AT40*VLOOKUP('Données projet'!$B$10,Paramètres!$A$1:$I$89,3,0)*0.475*44/12</f>
        <v>#N/A</v>
      </c>
      <c r="AX40" s="21" t="e">
        <f t="shared" si="6"/>
        <v>#N/A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1">
        <f t="shared" si="32"/>
        <v>6.717880434124976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7">
        <f t="shared" si="1"/>
        <v>341.16974175610096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14.850000000000009</v>
      </c>
      <c r="N41" s="13">
        <f>IF('Données projet'!$A$36&gt;35,N40+M41-V40,IF(A41&lt;'Données projet'!$A$36,$K$205^A41,IF(A41='Données projet'!$A$36,'Données projet'!$B$36,N40+M41-V40)))</f>
        <v>304.10000000000014</v>
      </c>
      <c r="O41" s="13">
        <f>N41*VLOOKUP('Données projet'!$B$9,Paramètres!$A$1:$I$89,3,0)*VLOOKUP('Données projet'!$B$9,Paramètres!$A$1:$I$89,5,0)</f>
        <v>181.85180000000011</v>
      </c>
      <c r="P41" s="13">
        <f t="shared" si="33"/>
        <v>45.733931809167743</v>
      </c>
      <c r="Q41" s="20">
        <f t="shared" si="53"/>
        <v>396.3784829009673</v>
      </c>
      <c r="R41" s="59">
        <f t="shared" si="0"/>
        <v>689.71181623430061</v>
      </c>
      <c r="S41" s="59">
        <f ca="1">AVERAGE(OFFSET($R$3,0,0,'Données projet'!$E$9+1,1))-AVERAGE(OFFSET($H$3,0,0,'Données projet'!$E$9+1,1))</f>
        <v>252.28378247570731</v>
      </c>
      <c r="T41" s="59">
        <f t="shared" si="34"/>
        <v>263.50418595307343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25.056360672517389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2.5225602864748122</v>
      </c>
      <c r="AC41" s="22">
        <f t="shared" si="3"/>
        <v>27.5789209589922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0</v>
      </c>
      <c r="AJ41" s="13" t="e">
        <f>AI41*VLOOKUP('Données projet'!$B$10,Paramètres!$A$1:$I$89,3,0)*VLOOKUP('Données projet'!$B$10,Paramètres!$A$1:$I$89,5,0)</f>
        <v>#N/A</v>
      </c>
      <c r="AK41" s="13" t="e">
        <f t="shared" si="35"/>
        <v>#N/A</v>
      </c>
      <c r="AL41" s="20" t="e">
        <f t="shared" si="4"/>
        <v>#N/A</v>
      </c>
      <c r="AM41" s="59" t="e">
        <f t="shared" si="5"/>
        <v>#N/A</v>
      </c>
      <c r="AN41" s="59" t="e">
        <f ca="1">AVERAGE(OFFSET($AM$3,0,0,'Données projet'!$E$10+1,1))-AVERAGE(OFFSET($H$3,0,0,'Données projet'!$E$10+1,1))</f>
        <v>#N/A</v>
      </c>
      <c r="AO41" s="59" t="e">
        <f t="shared" si="36"/>
        <v>#N/A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 t="e">
        <f>EXP(-LN(2)/35)*AU40+(1-EXP(-LN(2)/35))/(LN(2)/35)*AQ41*AR41*VLOOKUP('Données projet'!$B$10,Paramètres!$A$1:$I$89,3,0)*0.475*44/12</f>
        <v>#N/A</v>
      </c>
      <c r="AV41" s="21" t="e">
        <f>EXP(-LN(2)/25)*AV40+(1-EXP(-LN(2)/25))/(LN(2)/25)*Calculateur!AQ41*Calculateur!AS41*VLOOKUP('Données projet'!$B$10,Paramètres!$A$1:$I$89,3,0)*0.475*44/12</f>
        <v>#N/A</v>
      </c>
      <c r="AW41" s="21" t="e">
        <f>EXP(-LN(2)/2)*AW40+(1-EXP(-LN(2)/2))/(LN(2)/2)*AQ41*AT41*VLOOKUP('Données projet'!$B$10,Paramètres!$A$1:$I$89,3,0)*0.475*44/12</f>
        <v>#N/A</v>
      </c>
      <c r="AX41" s="21" t="e">
        <f t="shared" si="6"/>
        <v>#N/A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1">
        <f t="shared" si="32"/>
        <v>6.8738518981865644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7">
        <f t="shared" si="1"/>
        <v>342.3923420560082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14.850000000000009</v>
      </c>
      <c r="N42" s="13">
        <f>IF('Données projet'!$A$36&gt;35,N41+M42-V41,IF(A42&lt;'Données projet'!$A$36,$K$205^A42,IF(A42='Données projet'!$A$36,'Données projet'!$B$36,N41+M42-V41)))</f>
        <v>318.95000000000016</v>
      </c>
      <c r="O42" s="13">
        <f>N42*VLOOKUP('Données projet'!$B$9,Paramètres!$A$1:$I$89,3,0)*VLOOKUP('Données projet'!$B$9,Paramètres!$A$1:$I$89,5,0)</f>
        <v>190.73210000000009</v>
      </c>
      <c r="P42" s="13">
        <f t="shared" si="33"/>
        <v>47.701773521629008</v>
      </c>
      <c r="Q42" s="20">
        <f t="shared" si="53"/>
        <v>415.27232971683731</v>
      </c>
      <c r="R42" s="59">
        <f t="shared" si="0"/>
        <v>708.60566305017062</v>
      </c>
      <c r="S42" s="59">
        <f ca="1">AVERAGE(OFFSET($R$3,0,0,'Données projet'!$E$9+1,1))-AVERAGE(OFFSET($H$3,0,0,'Données projet'!$E$9+1,1))</f>
        <v>252.28378247570731</v>
      </c>
      <c r="T42" s="59">
        <f t="shared" si="34"/>
        <v>263.50418595307343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24.565020722600273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1.7837194845182198</v>
      </c>
      <c r="AC42" s="22">
        <f t="shared" si="3"/>
        <v>26.348740207118492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0</v>
      </c>
      <c r="AJ42" s="13" t="e">
        <f>AI42*VLOOKUP('Données projet'!$B$10,Paramètres!$A$1:$I$89,3,0)*VLOOKUP('Données projet'!$B$10,Paramètres!$A$1:$I$89,5,0)</f>
        <v>#N/A</v>
      </c>
      <c r="AK42" s="13" t="e">
        <f t="shared" si="35"/>
        <v>#N/A</v>
      </c>
      <c r="AL42" s="20" t="e">
        <f t="shared" si="4"/>
        <v>#N/A</v>
      </c>
      <c r="AM42" s="59" t="e">
        <f t="shared" si="5"/>
        <v>#N/A</v>
      </c>
      <c r="AN42" s="59" t="e">
        <f ca="1">AVERAGE(OFFSET($AM$3,0,0,'Données projet'!$E$10+1,1))-AVERAGE(OFFSET($H$3,0,0,'Données projet'!$E$10+1,1))</f>
        <v>#N/A</v>
      </c>
      <c r="AO42" s="59" t="e">
        <f t="shared" si="36"/>
        <v>#N/A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 t="e">
        <f>EXP(-LN(2)/35)*AU41+(1-EXP(-LN(2)/35))/(LN(2)/35)*AQ42*AR42*VLOOKUP('Données projet'!$B$10,Paramètres!$A$1:$I$89,3,0)*0.475*44/12</f>
        <v>#N/A</v>
      </c>
      <c r="AV42" s="21" t="e">
        <f>EXP(-LN(2)/25)*AV41+(1-EXP(-LN(2)/25))/(LN(2)/25)*Calculateur!AQ42*Calculateur!AS42*VLOOKUP('Données projet'!$B$10,Paramètres!$A$1:$I$89,3,0)*0.475*44/12</f>
        <v>#N/A</v>
      </c>
      <c r="AW42" s="21" t="e">
        <f>EXP(-LN(2)/2)*AW41+(1-EXP(-LN(2)/2))/(LN(2)/2)*AQ42*AT42*VLOOKUP('Données projet'!$B$10,Paramètres!$A$1:$I$89,3,0)*0.475*44/12</f>
        <v>#N/A</v>
      </c>
      <c r="AX42" s="21" t="e">
        <f t="shared" si="6"/>
        <v>#N/A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1">
        <f t="shared" si="32"/>
        <v>7.0293584875852577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7">
        <f t="shared" si="1"/>
        <v>343.61413269921093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333.80000000000007</v>
      </c>
      <c r="L43" s="12">
        <f>VLOOKUP(A43,'Données projet'!$A$35:$I$55,9,0)</f>
        <v>14.850000000000009</v>
      </c>
      <c r="M43" s="12">
        <f t="array" ref="M43">INDEX(L:L,MIN(IF(ISNUMBER(L43:L239),ROW(L43:L239),"")))</f>
        <v>14.850000000000009</v>
      </c>
      <c r="N43" s="13">
        <f>IF('Données projet'!$A$36&gt;35,N42+M43-V42,IF(A43&lt;'Données projet'!$A$36,$K$205^A43,IF(A43='Données projet'!$A$36,'Données projet'!$B$36,N42+M43-V42)))</f>
        <v>333.80000000000018</v>
      </c>
      <c r="O43" s="13">
        <f>N43*VLOOKUP('Données projet'!$B$9,Paramètres!$A$1:$I$89,3,0)*VLOOKUP('Données projet'!$B$9,Paramètres!$A$1:$I$89,5,0)</f>
        <v>199.61240000000012</v>
      </c>
      <c r="P43" s="13">
        <f t="shared" si="33"/>
        <v>49.658975362033459</v>
      </c>
      <c r="Q43" s="20">
        <f t="shared" si="53"/>
        <v>434.14764542220854</v>
      </c>
      <c r="R43" s="59">
        <f t="shared" si="0"/>
        <v>727.48097875554186</v>
      </c>
      <c r="S43" s="59">
        <f ca="1">AVERAGE(OFFSET($R$3,0,0,'Données projet'!$E$9+1,1))-AVERAGE(OFFSET($H$3,0,0,'Données projet'!$E$9+1,1))</f>
        <v>252.28378247570731</v>
      </c>
      <c r="T43" s="59">
        <f t="shared" si="34"/>
        <v>263.50418595307343</v>
      </c>
      <c r="U43" s="15">
        <f>IF(ISNA(VLOOKUP(A43,'Données projet'!$A$35:$I$55,3,0)),0,VLOOKUP(A43,'Données projet'!$A$35:$I$55,3,0))</f>
        <v>7</v>
      </c>
      <c r="V43" s="15">
        <f>IF(ISNA(VLOOKUP(A43,'Données projet'!$A$35:$I$55,4,0)),0,VLOOKUP(A43,'Données projet'!$A$35:$I$55,4,0))</f>
        <v>34.1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24.083315649413258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1.2612801432374063</v>
      </c>
      <c r="AC43" s="22">
        <f t="shared" si="3"/>
        <v>25.344595792650665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0</v>
      </c>
      <c r="AJ43" s="13" t="e">
        <f>AI43*VLOOKUP('Données projet'!$B$10,Paramètres!$A$1:$I$89,3,0)*VLOOKUP('Données projet'!$B$10,Paramètres!$A$1:$I$89,5,0)</f>
        <v>#N/A</v>
      </c>
      <c r="AK43" s="13" t="e">
        <f t="shared" si="35"/>
        <v>#N/A</v>
      </c>
      <c r="AL43" s="20" t="e">
        <f t="shared" si="4"/>
        <v>#N/A</v>
      </c>
      <c r="AM43" s="59" t="e">
        <f t="shared" si="5"/>
        <v>#N/A</v>
      </c>
      <c r="AN43" s="59" t="e">
        <f ca="1">AVERAGE(OFFSET($AM$3,0,0,'Données projet'!$E$10+1,1))-AVERAGE(OFFSET($H$3,0,0,'Données projet'!$E$10+1,1))</f>
        <v>#N/A</v>
      </c>
      <c r="AO43" s="59" t="e">
        <f t="shared" si="36"/>
        <v>#N/A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 t="e">
        <f>EXP(-LN(2)/35)*AU42+(1-EXP(-LN(2)/35))/(LN(2)/35)*AQ43*AR43*VLOOKUP('Données projet'!$B$10,Paramètres!$A$1:$I$89,3,0)*0.475*44/12</f>
        <v>#N/A</v>
      </c>
      <c r="AV43" s="21" t="e">
        <f>EXP(-LN(2)/25)*AV42+(1-EXP(-LN(2)/25))/(LN(2)/25)*Calculateur!AQ43*Calculateur!AS43*VLOOKUP('Données projet'!$B$10,Paramètres!$A$1:$I$89,3,0)*0.475*44/12</f>
        <v>#N/A</v>
      </c>
      <c r="AW43" s="21" t="e">
        <f>EXP(-LN(2)/2)*AW42+(1-EXP(-LN(2)/2))/(LN(2)/2)*AQ43*AT43*VLOOKUP('Données projet'!$B$10,Paramètres!$A$1:$I$89,3,0)*0.475*44/12</f>
        <v>#N/A</v>
      </c>
      <c r="AX43" s="21" t="e">
        <f t="shared" si="6"/>
        <v>#N/A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1">
        <f t="shared" si="32"/>
        <v>7.1844131608438397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7">
        <f t="shared" si="1"/>
        <v>344.83513625513632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11.049999999999992</v>
      </c>
      <c r="N44" s="13">
        <f>IF('Données projet'!$A$36&gt;35,N43+M44-V43,IF(A44&lt;'Données projet'!$A$36,$K$205^A44,IF(A44='Données projet'!$A$36,'Données projet'!$B$36,N43+M44-V43)))</f>
        <v>310.75000000000017</v>
      </c>
      <c r="O44" s="13">
        <f>N44*VLOOKUP('Données projet'!$B$9,Paramètres!$A$1:$I$89,3,0)*VLOOKUP('Données projet'!$B$9,Paramètres!$A$1:$I$89,5,0)</f>
        <v>185.8285000000001</v>
      </c>
      <c r="P44" s="13">
        <f t="shared" si="33"/>
        <v>46.616505227631968</v>
      </c>
      <c r="Q44" s="20">
        <f t="shared" si="53"/>
        <v>404.84171743812584</v>
      </c>
      <c r="R44" s="59">
        <f t="shared" si="0"/>
        <v>698.17505077145915</v>
      </c>
      <c r="S44" s="59">
        <f ca="1">AVERAGE(OFFSET($R$3,0,0,'Données projet'!$E$9+1,1))-AVERAGE(OFFSET($H$3,0,0,'Données projet'!$E$9+1,1))</f>
        <v>252.28378247570731</v>
      </c>
      <c r="T44" s="59">
        <f t="shared" si="34"/>
        <v>263.50418595307343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23.611056518900355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0.89185974225911002</v>
      </c>
      <c r="AC44" s="22">
        <f t="shared" si="3"/>
        <v>24.502916261159466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0</v>
      </c>
      <c r="AJ44" s="13" t="e">
        <f>AI44*VLOOKUP('Données projet'!$B$10,Paramètres!$A$1:$I$89,3,0)*VLOOKUP('Données projet'!$B$10,Paramètres!$A$1:$I$89,5,0)</f>
        <v>#N/A</v>
      </c>
      <c r="AK44" s="13" t="e">
        <f t="shared" si="35"/>
        <v>#N/A</v>
      </c>
      <c r="AL44" s="20" t="e">
        <f t="shared" si="4"/>
        <v>#N/A</v>
      </c>
      <c r="AM44" s="59" t="e">
        <f t="shared" si="5"/>
        <v>#N/A</v>
      </c>
      <c r="AN44" s="59" t="e">
        <f ca="1">AVERAGE(OFFSET($AM$3,0,0,'Données projet'!$E$10+1,1))-AVERAGE(OFFSET($H$3,0,0,'Données projet'!$E$10+1,1))</f>
        <v>#N/A</v>
      </c>
      <c r="AO44" s="59" t="e">
        <f t="shared" si="36"/>
        <v>#N/A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 t="e">
        <f>EXP(-LN(2)/35)*AU43+(1-EXP(-LN(2)/35))/(LN(2)/35)*AQ44*AR44*VLOOKUP('Données projet'!$B$10,Paramètres!$A$1:$I$89,3,0)*0.475*44/12</f>
        <v>#N/A</v>
      </c>
      <c r="AV44" s="21" t="e">
        <f>EXP(-LN(2)/25)*AV43+(1-EXP(-LN(2)/25))/(LN(2)/25)*Calculateur!AQ44*Calculateur!AS44*VLOOKUP('Données projet'!$B$10,Paramètres!$A$1:$I$89,3,0)*0.475*44/12</f>
        <v>#N/A</v>
      </c>
      <c r="AW44" s="21" t="e">
        <f>EXP(-LN(2)/2)*AW43+(1-EXP(-LN(2)/2))/(LN(2)/2)*AQ44*AT44*VLOOKUP('Données projet'!$B$10,Paramètres!$A$1:$I$89,3,0)*0.475*44/12</f>
        <v>#N/A</v>
      </c>
      <c r="AX44" s="21" t="e">
        <f t="shared" si="6"/>
        <v>#N/A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1">
        <f t="shared" si="32"/>
        <v>7.3390282083215048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7">
        <f t="shared" si="1"/>
        <v>346.05537412949326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11.049999999999992</v>
      </c>
      <c r="N45" s="13">
        <f>IF('Données projet'!$A$36&gt;35,N44+M45-V44,IF(A45&lt;'Données projet'!$A$36,$K$205^A45,IF(A45='Données projet'!$A$36,'Données projet'!$B$36,N44+M45-V44)))</f>
        <v>321.80000000000018</v>
      </c>
      <c r="O45" s="13">
        <f>N45*VLOOKUP('Données projet'!$B$9,Paramètres!$A$1:$I$89,3,0)*VLOOKUP('Données projet'!$B$9,Paramètres!$A$1:$I$89,5,0)</f>
        <v>192.43640000000011</v>
      </c>
      <c r="P45" s="13">
        <f t="shared" si="33"/>
        <v>48.07820620284339</v>
      </c>
      <c r="Q45" s="20">
        <f t="shared" si="53"/>
        <v>418.89627246995241</v>
      </c>
      <c r="R45" s="59">
        <f t="shared" si="0"/>
        <v>712.22960580328572</v>
      </c>
      <c r="S45" s="59">
        <f ca="1">AVERAGE(OFFSET($R$3,0,0,'Données projet'!$E$9+1,1))-AVERAGE(OFFSET($H$3,0,0,'Données projet'!$E$9+1,1))</f>
        <v>252.28378247570731</v>
      </c>
      <c r="T45" s="59">
        <f t="shared" si="34"/>
        <v>263.50418595307343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23.148058101887184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0.63064007161870328</v>
      </c>
      <c r="AC45" s="22">
        <f t="shared" si="3"/>
        <v>23.778698173505887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0</v>
      </c>
      <c r="AJ45" s="13" t="e">
        <f>AI45*VLOOKUP('Données projet'!$B$10,Paramètres!$A$1:$I$89,3,0)*VLOOKUP('Données projet'!$B$10,Paramètres!$A$1:$I$89,5,0)</f>
        <v>#N/A</v>
      </c>
      <c r="AK45" s="13" t="e">
        <f t="shared" si="35"/>
        <v>#N/A</v>
      </c>
      <c r="AL45" s="20" t="e">
        <f t="shared" si="4"/>
        <v>#N/A</v>
      </c>
      <c r="AM45" s="59" t="e">
        <f t="shared" si="5"/>
        <v>#N/A</v>
      </c>
      <c r="AN45" s="59" t="e">
        <f ca="1">AVERAGE(OFFSET($AM$3,0,0,'Données projet'!$E$10+1,1))-AVERAGE(OFFSET($H$3,0,0,'Données projet'!$E$10+1,1))</f>
        <v>#N/A</v>
      </c>
      <c r="AO45" s="59" t="e">
        <f t="shared" si="36"/>
        <v>#N/A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 t="e">
        <f>EXP(-LN(2)/35)*AU44+(1-EXP(-LN(2)/35))/(LN(2)/35)*AQ45*AR45*VLOOKUP('Données projet'!$B$10,Paramètres!$A$1:$I$89,3,0)*0.475*44/12</f>
        <v>#N/A</v>
      </c>
      <c r="AV45" s="21" t="e">
        <f>EXP(-LN(2)/25)*AV44+(1-EXP(-LN(2)/25))/(LN(2)/25)*Calculateur!AQ45*Calculateur!AS45*VLOOKUP('Données projet'!$B$10,Paramètres!$A$1:$I$89,3,0)*0.475*44/12</f>
        <v>#N/A</v>
      </c>
      <c r="AW45" s="21" t="e">
        <f>EXP(-LN(2)/2)*AW44+(1-EXP(-LN(2)/2))/(LN(2)/2)*AQ45*AT45*VLOOKUP('Données projet'!$B$10,Paramètres!$A$1:$I$89,3,0)*0.475*44/12</f>
        <v>#N/A</v>
      </c>
      <c r="AX45" s="21" t="e">
        <f t="shared" si="6"/>
        <v>#N/A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1">
        <f t="shared" si="32"/>
        <v>7.4932153017418166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7">
        <f t="shared" si="1"/>
        <v>347.27486665053362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11.049999999999992</v>
      </c>
      <c r="N46" s="13">
        <f>IF('Données projet'!$A$36&gt;35,N45+M46-V45,IF(A46&lt;'Données projet'!$A$36,$K$205^A46,IF(A46='Données projet'!$A$36,'Données projet'!$B$36,N45+M46-V45)))</f>
        <v>332.85000000000019</v>
      </c>
      <c r="O46" s="13">
        <f>N46*VLOOKUP('Données projet'!$B$9,Paramètres!$A$1:$I$89,3,0)*VLOOKUP('Données projet'!$B$9,Paramètres!$A$1:$I$89,5,0)</f>
        <v>199.04430000000013</v>
      </c>
      <c r="P46" s="13">
        <f t="shared" si="33"/>
        <v>49.534075275146158</v>
      </c>
      <c r="Q46" s="20">
        <f t="shared" si="53"/>
        <v>432.94067027087976</v>
      </c>
      <c r="R46" s="59">
        <f t="shared" si="0"/>
        <v>726.27400360421302</v>
      </c>
      <c r="S46" s="59">
        <f ca="1">AVERAGE(OFFSET($R$3,0,0,'Données projet'!$E$9+1,1))-AVERAGE(OFFSET($H$3,0,0,'Données projet'!$E$9+1,1))</f>
        <v>252.28378247570731</v>
      </c>
      <c r="T46" s="59">
        <f t="shared" si="34"/>
        <v>263.50418595307343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22.694138801430491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0.44592987112955512</v>
      </c>
      <c r="AC46" s="22">
        <f t="shared" si="3"/>
        <v>23.140068672560044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0</v>
      </c>
      <c r="AJ46" s="13" t="e">
        <f>AI46*VLOOKUP('Données projet'!$B$10,Paramètres!$A$1:$I$89,3,0)*VLOOKUP('Données projet'!$B$10,Paramètres!$A$1:$I$89,5,0)</f>
        <v>#N/A</v>
      </c>
      <c r="AK46" s="13" t="e">
        <f t="shared" si="35"/>
        <v>#N/A</v>
      </c>
      <c r="AL46" s="20" t="e">
        <f t="shared" si="4"/>
        <v>#N/A</v>
      </c>
      <c r="AM46" s="59" t="e">
        <f t="shared" si="5"/>
        <v>#N/A</v>
      </c>
      <c r="AN46" s="59" t="e">
        <f ca="1">AVERAGE(OFFSET($AM$3,0,0,'Données projet'!$E$10+1,1))-AVERAGE(OFFSET($H$3,0,0,'Données projet'!$E$10+1,1))</f>
        <v>#N/A</v>
      </c>
      <c r="AO46" s="59" t="e">
        <f t="shared" si="36"/>
        <v>#N/A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 t="e">
        <f>EXP(-LN(2)/35)*AU45+(1-EXP(-LN(2)/35))/(LN(2)/35)*AQ46*AR46*VLOOKUP('Données projet'!$B$10,Paramètres!$A$1:$I$89,3,0)*0.475*44/12</f>
        <v>#N/A</v>
      </c>
      <c r="AV46" s="21" t="e">
        <f>EXP(-LN(2)/25)*AV45+(1-EXP(-LN(2)/25))/(LN(2)/25)*Calculateur!AQ46*Calculateur!AS46*VLOOKUP('Données projet'!$B$10,Paramètres!$A$1:$I$89,3,0)*0.475*44/12</f>
        <v>#N/A</v>
      </c>
      <c r="AW46" s="21" t="e">
        <f>EXP(-LN(2)/2)*AW45+(1-EXP(-LN(2)/2))/(LN(2)/2)*AQ46*AT46*VLOOKUP('Données projet'!$B$10,Paramètres!$A$1:$I$89,3,0)*0.475*44/12</f>
        <v>#N/A</v>
      </c>
      <c r="AX46" s="21" t="e">
        <f t="shared" si="6"/>
        <v>#N/A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1">
        <f t="shared" si="32"/>
        <v>7.6469855389835546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7">
        <f t="shared" si="1"/>
        <v>348.49363314706295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11.049999999999992</v>
      </c>
      <c r="N47" s="13">
        <f>IF('Données projet'!$A$36&gt;35,N46+M47-V46,IF(A47&lt;'Données projet'!$A$36,$K$205^A47,IF(A47='Données projet'!$A$36,'Données projet'!$B$36,N46+M47-V46)))</f>
        <v>343.9000000000002</v>
      </c>
      <c r="O47" s="13">
        <f>N47*VLOOKUP('Données projet'!$B$9,Paramètres!$A$1:$I$89,3,0)*VLOOKUP('Données projet'!$B$9,Paramètres!$A$1:$I$89,5,0)</f>
        <v>205.65220000000014</v>
      </c>
      <c r="P47" s="13">
        <f t="shared" si="33"/>
        <v>50.984328252291228</v>
      </c>
      <c r="Q47" s="20">
        <f t="shared" si="53"/>
        <v>446.97528670607409</v>
      </c>
      <c r="R47" s="59">
        <f t="shared" si="0"/>
        <v>740.3086200394074</v>
      </c>
      <c r="S47" s="59">
        <f ca="1">AVERAGE(OFFSET($R$3,0,0,'Données projet'!$E$9+1,1))-AVERAGE(OFFSET($H$3,0,0,'Données projet'!$E$9+1,1))</f>
        <v>252.28378247570731</v>
      </c>
      <c r="T47" s="59">
        <f t="shared" si="34"/>
        <v>263.50418595307343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22.249120581592319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0.3153200358093517</v>
      </c>
      <c r="AC47" s="22">
        <f t="shared" si="3"/>
        <v>22.564440617401669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0</v>
      </c>
      <c r="AJ47" s="13" t="e">
        <f>AI47*VLOOKUP('Données projet'!$B$10,Paramètres!$A$1:$I$89,3,0)*VLOOKUP('Données projet'!$B$10,Paramètres!$A$1:$I$89,5,0)</f>
        <v>#N/A</v>
      </c>
      <c r="AK47" s="13" t="e">
        <f t="shared" si="35"/>
        <v>#N/A</v>
      </c>
      <c r="AL47" s="20" t="e">
        <f t="shared" si="4"/>
        <v>#N/A</v>
      </c>
      <c r="AM47" s="59" t="e">
        <f t="shared" si="5"/>
        <v>#N/A</v>
      </c>
      <c r="AN47" s="59" t="e">
        <f ca="1">AVERAGE(OFFSET($AM$3,0,0,'Données projet'!$E$10+1,1))-AVERAGE(OFFSET($H$3,0,0,'Données projet'!$E$10+1,1))</f>
        <v>#N/A</v>
      </c>
      <c r="AO47" s="59" t="e">
        <f t="shared" si="36"/>
        <v>#N/A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 t="e">
        <f>EXP(-LN(2)/35)*AU46+(1-EXP(-LN(2)/35))/(LN(2)/35)*AQ47*AR47*VLOOKUP('Données projet'!$B$10,Paramètres!$A$1:$I$89,3,0)*0.475*44/12</f>
        <v>#N/A</v>
      </c>
      <c r="AV47" s="21" t="e">
        <f>EXP(-LN(2)/25)*AV46+(1-EXP(-LN(2)/25))/(LN(2)/25)*Calculateur!AQ47*Calculateur!AS47*VLOOKUP('Données projet'!$B$10,Paramètres!$A$1:$I$89,3,0)*0.475*44/12</f>
        <v>#N/A</v>
      </c>
      <c r="AW47" s="21" t="e">
        <f>EXP(-LN(2)/2)*AW46+(1-EXP(-LN(2)/2))/(LN(2)/2)*AQ47*AT47*VLOOKUP('Données projet'!$B$10,Paramètres!$A$1:$I$89,3,0)*0.475*44/12</f>
        <v>#N/A</v>
      </c>
      <c r="AX47" s="21" t="e">
        <f t="shared" si="6"/>
        <v>#N/A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1">
        <f t="shared" si="32"/>
        <v>7.8003494846849248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7">
        <f t="shared" si="1"/>
        <v>349.7116920191595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11.049999999999992</v>
      </c>
      <c r="N48" s="13">
        <f>IF('Données projet'!$A$36&gt;35,N47+M48-V47,IF(A48&lt;'Données projet'!$A$36,$K$205^A48,IF(A48='Données projet'!$A$36,'Données projet'!$B$36,N47+M48-V47)))</f>
        <v>354.95000000000022</v>
      </c>
      <c r="O48" s="13">
        <f>N48*VLOOKUP('Données projet'!$B$9,Paramètres!$A$1:$I$89,3,0)*VLOOKUP('Données projet'!$B$9,Paramètres!$A$1:$I$89,5,0)</f>
        <v>212.26010000000014</v>
      </c>
      <c r="P48" s="13">
        <f t="shared" si="33"/>
        <v>52.429166286213409</v>
      </c>
      <c r="Q48" s="20">
        <f t="shared" si="53"/>
        <v>461.00047211515522</v>
      </c>
      <c r="R48" s="59">
        <f t="shared" si="0"/>
        <v>754.33380544848853</v>
      </c>
      <c r="S48" s="59">
        <f ca="1">AVERAGE(OFFSET($R$3,0,0,'Données projet'!$E$9+1,1))-AVERAGE(OFFSET($H$3,0,0,'Données projet'!$E$9+1,1))</f>
        <v>252.28378247570731</v>
      </c>
      <c r="T48" s="59">
        <f t="shared" si="34"/>
        <v>263.50418595307343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21.81282889761086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0.22296493556477759</v>
      </c>
      <c r="AC48" s="22">
        <f t="shared" si="3"/>
        <v>22.035793833175639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0</v>
      </c>
      <c r="AJ48" s="13" t="e">
        <f>AI48*VLOOKUP('Données projet'!$B$10,Paramètres!$A$1:$I$89,3,0)*VLOOKUP('Données projet'!$B$10,Paramètres!$A$1:$I$89,5,0)</f>
        <v>#N/A</v>
      </c>
      <c r="AK48" s="13" t="e">
        <f t="shared" si="35"/>
        <v>#N/A</v>
      </c>
      <c r="AL48" s="20" t="e">
        <f t="shared" si="4"/>
        <v>#N/A</v>
      </c>
      <c r="AM48" s="59" t="e">
        <f t="shared" si="5"/>
        <v>#N/A</v>
      </c>
      <c r="AN48" s="59" t="e">
        <f ca="1">AVERAGE(OFFSET($AM$3,0,0,'Données projet'!$E$10+1,1))-AVERAGE(OFFSET($H$3,0,0,'Données projet'!$E$10+1,1))</f>
        <v>#N/A</v>
      </c>
      <c r="AO48" s="59" t="e">
        <f t="shared" si="36"/>
        <v>#N/A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 t="e">
        <f>EXP(-LN(2)/35)*AU47+(1-EXP(-LN(2)/35))/(LN(2)/35)*AQ48*AR48*VLOOKUP('Données projet'!$B$10,Paramètres!$A$1:$I$89,3,0)*0.475*44/12</f>
        <v>#N/A</v>
      </c>
      <c r="AV48" s="21" t="e">
        <f>EXP(-LN(2)/25)*AV47+(1-EXP(-LN(2)/25))/(LN(2)/25)*Calculateur!AQ48*Calculateur!AS48*VLOOKUP('Données projet'!$B$10,Paramètres!$A$1:$I$89,3,0)*0.475*44/12</f>
        <v>#N/A</v>
      </c>
      <c r="AW48" s="21" t="e">
        <f>EXP(-LN(2)/2)*AW47+(1-EXP(-LN(2)/2))/(LN(2)/2)*AQ48*AT48*VLOOKUP('Données projet'!$B$10,Paramètres!$A$1:$I$89,3,0)*0.475*44/12</f>
        <v>#N/A</v>
      </c>
      <c r="AX48" s="21" t="e">
        <f t="shared" si="6"/>
        <v>#N/A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1">
        <f t="shared" si="32"/>
        <v>7.9533172071366991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7">
        <f t="shared" si="1"/>
        <v>350.92906080242972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>
        <f>VLOOKUP(A49,'Données projet'!$A$35:$I$55,2,0)</f>
        <v>366</v>
      </c>
      <c r="L49" s="12">
        <f>VLOOKUP(A49,'Données projet'!$A$35:$I$55,9,0)</f>
        <v>11.049999999999992</v>
      </c>
      <c r="M49" s="12">
        <f t="array" ref="M49">INDEX(L:L,MIN(IF(ISNUMBER(L49:L245),ROW(L49:L245),"")))</f>
        <v>11.049999999999992</v>
      </c>
      <c r="N49" s="13">
        <f>IF('Données projet'!$A$36&gt;35,N48+M49-V48,IF(A49&lt;'Données projet'!$A$36,$K$205^A49,IF(A49='Données projet'!$A$36,'Données projet'!$B$36,N48+M49-V48)))</f>
        <v>366.00000000000023</v>
      </c>
      <c r="O49" s="13">
        <f>N49*VLOOKUP('Données projet'!$B$9,Paramètres!$A$1:$I$89,3,0)*VLOOKUP('Données projet'!$B$9,Paramètres!$A$1:$I$89,5,0)</f>
        <v>218.86800000000014</v>
      </c>
      <c r="P49" s="13">
        <f t="shared" si="33"/>
        <v>53.868777293257544</v>
      </c>
      <c r="Q49" s="20">
        <f t="shared" si="53"/>
        <v>475.01655378575714</v>
      </c>
      <c r="R49" s="59">
        <f t="shared" si="0"/>
        <v>768.34988711909045</v>
      </c>
      <c r="S49" s="59">
        <f ca="1">AVERAGE(OFFSET($R$3,0,0,'Données projet'!$E$9+1,1))-AVERAGE(OFFSET($H$3,0,0,'Données projet'!$E$9+1,1))</f>
        <v>252.28378247570731</v>
      </c>
      <c r="T49" s="59">
        <f t="shared" si="34"/>
        <v>263.50418595307343</v>
      </c>
      <c r="U49" s="15">
        <f>IF(ISNA(VLOOKUP(A49,'Données projet'!$A$35:$I$55,3,0)),0,VLOOKUP(A49,'Données projet'!$A$35:$I$55,3,0))</f>
        <v>8</v>
      </c>
      <c r="V49" s="15">
        <f>IF(ISNA(VLOOKUP(A49,'Données projet'!$A$35:$I$55,4,0)),0,VLOOKUP(A49,'Données projet'!$A$35:$I$55,4,0))</f>
        <v>21.3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21.385092627440628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0.15766001790467588</v>
      </c>
      <c r="AC49" s="22">
        <f t="shared" si="3"/>
        <v>21.542752645345303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0</v>
      </c>
      <c r="AJ49" s="13" t="e">
        <f>AI49*VLOOKUP('Données projet'!$B$10,Paramètres!$A$1:$I$89,3,0)*VLOOKUP('Données projet'!$B$10,Paramètres!$A$1:$I$89,5,0)</f>
        <v>#N/A</v>
      </c>
      <c r="AK49" s="13" t="e">
        <f t="shared" si="35"/>
        <v>#N/A</v>
      </c>
      <c r="AL49" s="20" t="e">
        <f t="shared" si="4"/>
        <v>#N/A</v>
      </c>
      <c r="AM49" s="59" t="e">
        <f t="shared" si="5"/>
        <v>#N/A</v>
      </c>
      <c r="AN49" s="59" t="e">
        <f ca="1">AVERAGE(OFFSET($AM$3,0,0,'Données projet'!$E$10+1,1))-AVERAGE(OFFSET($H$3,0,0,'Données projet'!$E$10+1,1))</f>
        <v>#N/A</v>
      </c>
      <c r="AO49" s="59" t="e">
        <f t="shared" si="36"/>
        <v>#N/A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 t="e">
        <f>EXP(-LN(2)/35)*AU48+(1-EXP(-LN(2)/35))/(LN(2)/35)*AQ49*AR49*VLOOKUP('Données projet'!$B$10,Paramètres!$A$1:$I$89,3,0)*0.475*44/12</f>
        <v>#N/A</v>
      </c>
      <c r="AV49" s="21" t="e">
        <f>EXP(-LN(2)/25)*AV48+(1-EXP(-LN(2)/25))/(LN(2)/25)*Calculateur!AQ49*Calculateur!AS49*VLOOKUP('Données projet'!$B$10,Paramètres!$A$1:$I$89,3,0)*0.475*44/12</f>
        <v>#N/A</v>
      </c>
      <c r="AW49" s="21" t="e">
        <f>EXP(-LN(2)/2)*AW48+(1-EXP(-LN(2)/2))/(LN(2)/2)*AQ49*AT49*VLOOKUP('Données projet'!$B$10,Paramètres!$A$1:$I$89,3,0)*0.475*44/12</f>
        <v>#N/A</v>
      </c>
      <c r="AX49" s="21" t="e">
        <f t="shared" si="6"/>
        <v>#N/A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1">
        <f t="shared" si="32"/>
        <v>8.1058983118768051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7">
        <f t="shared" si="1"/>
        <v>352.14575622651876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7.2999999999999972</v>
      </c>
      <c r="N50" s="13">
        <f>IF('Données projet'!$A$36&gt;35,N49+M50-V49,IF(A50&lt;'Données projet'!$A$36,$K$205^A50,IF(A50='Données projet'!$A$36,'Données projet'!$B$36,N49+M50-V49)))</f>
        <v>352.00000000000023</v>
      </c>
      <c r="O50" s="13">
        <f>N50*VLOOKUP('Données projet'!$B$9,Paramètres!$A$1:$I$89,3,0)*VLOOKUP('Données projet'!$B$9,Paramètres!$A$1:$I$89,5,0)</f>
        <v>210.49600000000015</v>
      </c>
      <c r="P50" s="13">
        <f t="shared" si="33"/>
        <v>52.043959291168512</v>
      </c>
      <c r="Q50" s="20">
        <f t="shared" si="53"/>
        <v>457.25709576545205</v>
      </c>
      <c r="R50" s="59">
        <f t="shared" si="0"/>
        <v>750.59042909878531</v>
      </c>
      <c r="S50" s="59">
        <f ca="1">AVERAGE(OFFSET($R$3,0,0,'Données projet'!$E$9+1,1))-AVERAGE(OFFSET($H$3,0,0,'Données projet'!$E$9+1,1))</f>
        <v>252.28378247570731</v>
      </c>
      <c r="T50" s="59">
        <f t="shared" si="34"/>
        <v>263.50418595307343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20.96574400463507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0.11148246778238882</v>
      </c>
      <c r="AC50" s="22">
        <f t="shared" si="3"/>
        <v>21.077226472417458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0</v>
      </c>
      <c r="AJ50" s="13" t="e">
        <f>AI50*VLOOKUP('Données projet'!$B$10,Paramètres!$A$1:$I$89,3,0)*VLOOKUP('Données projet'!$B$10,Paramètres!$A$1:$I$89,5,0)</f>
        <v>#N/A</v>
      </c>
      <c r="AK50" s="13" t="e">
        <f t="shared" si="35"/>
        <v>#N/A</v>
      </c>
      <c r="AL50" s="20" t="e">
        <f t="shared" si="4"/>
        <v>#N/A</v>
      </c>
      <c r="AM50" s="59" t="e">
        <f t="shared" si="5"/>
        <v>#N/A</v>
      </c>
      <c r="AN50" s="59" t="e">
        <f ca="1">AVERAGE(OFFSET($AM$3,0,0,'Données projet'!$E$10+1,1))-AVERAGE(OFFSET($H$3,0,0,'Données projet'!$E$10+1,1))</f>
        <v>#N/A</v>
      </c>
      <c r="AO50" s="59" t="e">
        <f t="shared" si="36"/>
        <v>#N/A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 t="e">
        <f>EXP(-LN(2)/35)*AU49+(1-EXP(-LN(2)/35))/(LN(2)/35)*AQ50*AR50*VLOOKUP('Données projet'!$B$10,Paramètres!$A$1:$I$89,3,0)*0.475*44/12</f>
        <v>#N/A</v>
      </c>
      <c r="AV50" s="21" t="e">
        <f>EXP(-LN(2)/25)*AV49+(1-EXP(-LN(2)/25))/(LN(2)/25)*Calculateur!AQ50*Calculateur!AS50*VLOOKUP('Données projet'!$B$10,Paramètres!$A$1:$I$89,3,0)*0.475*44/12</f>
        <v>#N/A</v>
      </c>
      <c r="AW50" s="21" t="e">
        <f>EXP(-LN(2)/2)*AW49+(1-EXP(-LN(2)/2))/(LN(2)/2)*AQ50*AT50*VLOOKUP('Données projet'!$B$10,Paramètres!$A$1:$I$89,3,0)*0.475*44/12</f>
        <v>#N/A</v>
      </c>
      <c r="AX50" s="21" t="e">
        <f t="shared" si="6"/>
        <v>#N/A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1">
        <f t="shared" si="32"/>
        <v>8.2581019723450915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7">
        <f t="shared" si="1"/>
        <v>353.361794268501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7.2999999999999972</v>
      </c>
      <c r="N51" s="13">
        <f>IF('Données projet'!$A$36&gt;35,N50+M51-V50,IF(A51&lt;'Données projet'!$A$36,$K$205^A51,IF(A51='Données projet'!$A$36,'Données projet'!$B$36,N50+M51-V50)))</f>
        <v>359.30000000000024</v>
      </c>
      <c r="O51" s="13">
        <f>N51*VLOOKUP('Données projet'!$B$9,Paramètres!$A$1:$I$89,3,0)*VLOOKUP('Données projet'!$B$9,Paramètres!$A$1:$I$89,5,0)</f>
        <v>214.86140000000015</v>
      </c>
      <c r="P51" s="13">
        <f t="shared" si="33"/>
        <v>52.996504799916742</v>
      </c>
      <c r="Q51" s="20">
        <f t="shared" si="53"/>
        <v>466.51918419318849</v>
      </c>
      <c r="R51" s="59">
        <f t="shared" si="0"/>
        <v>759.85251752652175</v>
      </c>
      <c r="S51" s="59">
        <f ca="1">AVERAGE(OFFSET($R$3,0,0,'Données projet'!$E$9+1,1))-AVERAGE(OFFSET($H$3,0,0,'Données projet'!$E$9+1,1))</f>
        <v>252.28378247570731</v>
      </c>
      <c r="T51" s="59">
        <f t="shared" si="34"/>
        <v>263.50418595307343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20.554618552545325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7.8830008952337952E-2</v>
      </c>
      <c r="AC51" s="22">
        <f t="shared" si="3"/>
        <v>20.633448561497662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0</v>
      </c>
      <c r="AJ51" s="13" t="e">
        <f>AI51*VLOOKUP('Données projet'!$B$10,Paramètres!$A$1:$I$89,3,0)*VLOOKUP('Données projet'!$B$10,Paramètres!$A$1:$I$89,5,0)</f>
        <v>#N/A</v>
      </c>
      <c r="AK51" s="13" t="e">
        <f t="shared" si="35"/>
        <v>#N/A</v>
      </c>
      <c r="AL51" s="20" t="e">
        <f t="shared" si="4"/>
        <v>#N/A</v>
      </c>
      <c r="AM51" s="59" t="e">
        <f t="shared" si="5"/>
        <v>#N/A</v>
      </c>
      <c r="AN51" s="59" t="e">
        <f ca="1">AVERAGE(OFFSET($AM$3,0,0,'Données projet'!$E$10+1,1))-AVERAGE(OFFSET($H$3,0,0,'Données projet'!$E$10+1,1))</f>
        <v>#N/A</v>
      </c>
      <c r="AO51" s="59" t="e">
        <f t="shared" si="36"/>
        <v>#N/A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 t="e">
        <f>EXP(-LN(2)/35)*AU50+(1-EXP(-LN(2)/35))/(LN(2)/35)*AQ51*AR51*VLOOKUP('Données projet'!$B$10,Paramètres!$A$1:$I$89,3,0)*0.475*44/12</f>
        <v>#N/A</v>
      </c>
      <c r="AV51" s="21" t="e">
        <f>EXP(-LN(2)/25)*AV50+(1-EXP(-LN(2)/25))/(LN(2)/25)*Calculateur!AQ51*Calculateur!AS51*VLOOKUP('Données projet'!$B$10,Paramètres!$A$1:$I$89,3,0)*0.475*44/12</f>
        <v>#N/A</v>
      </c>
      <c r="AW51" s="21" t="e">
        <f>EXP(-LN(2)/2)*AW50+(1-EXP(-LN(2)/2))/(LN(2)/2)*AQ51*AT51*VLOOKUP('Données projet'!$B$10,Paramètres!$A$1:$I$89,3,0)*0.475*44/12</f>
        <v>#N/A</v>
      </c>
      <c r="AX51" s="21" t="e">
        <f t="shared" si="6"/>
        <v>#N/A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1">
        <f t="shared" si="32"/>
        <v>8.4099369579114391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7">
        <f t="shared" si="1"/>
        <v>354.57719020169571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7.2999999999999972</v>
      </c>
      <c r="N52" s="13">
        <f>IF('Données projet'!$A$36&gt;35,N51+M52-V51,IF(A52&lt;'Données projet'!$A$36,$K$205^A52,IF(A52='Données projet'!$A$36,'Données projet'!$B$36,N51+M52-V51)))</f>
        <v>366.60000000000025</v>
      </c>
      <c r="O52" s="13">
        <f>N52*VLOOKUP('Données projet'!$B$9,Paramètres!$A$1:$I$89,3,0)*VLOOKUP('Données projet'!$B$9,Paramètres!$A$1:$I$89,5,0)</f>
        <v>219.22680000000014</v>
      </c>
      <c r="P52" s="13">
        <f t="shared" si="33"/>
        <v>53.946800101493466</v>
      </c>
      <c r="Q52" s="20">
        <f t="shared" si="53"/>
        <v>475.77735351010136</v>
      </c>
      <c r="R52" s="59">
        <f t="shared" si="0"/>
        <v>769.11068684343468</v>
      </c>
      <c r="S52" s="59">
        <f ca="1">AVERAGE(OFFSET($R$3,0,0,'Données projet'!$E$9+1,1))-AVERAGE(OFFSET($H$3,0,0,'Données projet'!$E$9+1,1))</f>
        <v>252.28378247570731</v>
      </c>
      <c r="T52" s="59">
        <f t="shared" si="34"/>
        <v>263.50418595307343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20.151555019809294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5.5741233891194418E-2</v>
      </c>
      <c r="AC52" s="22">
        <f t="shared" si="3"/>
        <v>20.207296253700488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0</v>
      </c>
      <c r="AJ52" s="13" t="e">
        <f>AI52*VLOOKUP('Données projet'!$B$10,Paramètres!$A$1:$I$89,3,0)*VLOOKUP('Données projet'!$B$10,Paramètres!$A$1:$I$89,5,0)</f>
        <v>#N/A</v>
      </c>
      <c r="AK52" s="13" t="e">
        <f t="shared" si="35"/>
        <v>#N/A</v>
      </c>
      <c r="AL52" s="20" t="e">
        <f t="shared" si="4"/>
        <v>#N/A</v>
      </c>
      <c r="AM52" s="59" t="e">
        <f t="shared" si="5"/>
        <v>#N/A</v>
      </c>
      <c r="AN52" s="59" t="e">
        <f ca="1">AVERAGE(OFFSET($AM$3,0,0,'Données projet'!$E$10+1,1))-AVERAGE(OFFSET($H$3,0,0,'Données projet'!$E$10+1,1))</f>
        <v>#N/A</v>
      </c>
      <c r="AO52" s="59" t="e">
        <f t="shared" si="36"/>
        <v>#N/A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 t="e">
        <f>EXP(-LN(2)/35)*AU51+(1-EXP(-LN(2)/35))/(LN(2)/35)*AQ52*AR52*VLOOKUP('Données projet'!$B$10,Paramètres!$A$1:$I$89,3,0)*0.475*44/12</f>
        <v>#N/A</v>
      </c>
      <c r="AV52" s="21" t="e">
        <f>EXP(-LN(2)/25)*AV51+(1-EXP(-LN(2)/25))/(LN(2)/25)*Calculateur!AQ52*Calculateur!AS52*VLOOKUP('Données projet'!$B$10,Paramètres!$A$1:$I$89,3,0)*0.475*44/12</f>
        <v>#N/A</v>
      </c>
      <c r="AW52" s="21" t="e">
        <f>EXP(-LN(2)/2)*AW51+(1-EXP(-LN(2)/2))/(LN(2)/2)*AQ52*AT52*VLOOKUP('Données projet'!$B$10,Paramètres!$A$1:$I$89,3,0)*0.475*44/12</f>
        <v>#N/A</v>
      </c>
      <c r="AX52" s="21" t="e">
        <f t="shared" si="6"/>
        <v>#N/A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1">
        <f t="shared" si="32"/>
        <v>8.5614116595512399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7">
        <f t="shared" si="1"/>
        <v>355.79195864038502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7.2999999999999972</v>
      </c>
      <c r="N53" s="13">
        <f>IF('Données projet'!$A$36&gt;35,N52+M53-V52,IF(A53&lt;'Données projet'!$A$36,$K$205^A53,IF(A53='Données projet'!$A$36,'Données projet'!$B$36,N52+M53-V52)))</f>
        <v>373.90000000000026</v>
      </c>
      <c r="O53" s="13">
        <f>N53*VLOOKUP('Données projet'!$B$9,Paramètres!$A$1:$I$89,3,0)*VLOOKUP('Données projet'!$B$9,Paramètres!$A$1:$I$89,5,0)</f>
        <v>223.59220000000019</v>
      </c>
      <c r="P53" s="13">
        <f t="shared" si="33"/>
        <v>54.894895167980749</v>
      </c>
      <c r="Q53" s="20">
        <f t="shared" si="53"/>
        <v>485.03169075090017</v>
      </c>
      <c r="R53" s="59">
        <f t="shared" si="0"/>
        <v>778.36502408423348</v>
      </c>
      <c r="S53" s="59">
        <f ca="1">AVERAGE(OFFSET($R$3,0,0,'Données projet'!$E$9+1,1))-AVERAGE(OFFSET($H$3,0,0,'Données projet'!$E$9+1,1))</f>
        <v>252.28378247570731</v>
      </c>
      <c r="T53" s="59">
        <f t="shared" si="34"/>
        <v>263.50418595307343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19.756395317105738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3.9415004476168983E-2</v>
      </c>
      <c r="AC53" s="22">
        <f t="shared" si="3"/>
        <v>19.795810321581907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0</v>
      </c>
      <c r="AJ53" s="13" t="e">
        <f>AI53*VLOOKUP('Données projet'!$B$10,Paramètres!$A$1:$I$89,3,0)*VLOOKUP('Données projet'!$B$10,Paramètres!$A$1:$I$89,5,0)</f>
        <v>#N/A</v>
      </c>
      <c r="AK53" s="13" t="e">
        <f t="shared" si="35"/>
        <v>#N/A</v>
      </c>
      <c r="AL53" s="20" t="e">
        <f t="shared" si="4"/>
        <v>#N/A</v>
      </c>
      <c r="AM53" s="59" t="e">
        <f t="shared" si="5"/>
        <v>#N/A</v>
      </c>
      <c r="AN53" s="59" t="e">
        <f ca="1">AVERAGE(OFFSET($AM$3,0,0,'Données projet'!$E$10+1,1))-AVERAGE(OFFSET($H$3,0,0,'Données projet'!$E$10+1,1))</f>
        <v>#N/A</v>
      </c>
      <c r="AO53" s="59" t="e">
        <f t="shared" si="36"/>
        <v>#N/A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 t="e">
        <f>EXP(-LN(2)/35)*AU52+(1-EXP(-LN(2)/35))/(LN(2)/35)*AQ53*AR53*VLOOKUP('Données projet'!$B$10,Paramètres!$A$1:$I$89,3,0)*0.475*44/12</f>
        <v>#N/A</v>
      </c>
      <c r="AV53" s="21" t="e">
        <f>EXP(-LN(2)/25)*AV52+(1-EXP(-LN(2)/25))/(LN(2)/25)*Calculateur!AQ53*Calculateur!AS53*VLOOKUP('Données projet'!$B$10,Paramètres!$A$1:$I$89,3,0)*0.475*44/12</f>
        <v>#N/A</v>
      </c>
      <c r="AW53" s="21" t="e">
        <f>EXP(-LN(2)/2)*AW52+(1-EXP(-LN(2)/2))/(LN(2)/2)*AQ53*AT53*VLOOKUP('Données projet'!$B$10,Paramètres!$A$1:$I$89,3,0)*0.475*44/12</f>
        <v>#N/A</v>
      </c>
      <c r="AX53" s="21" t="e">
        <f t="shared" si="6"/>
        <v>#N/A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1">
        <f t="shared" si="32"/>
        <v>8.7125341134088217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7">
        <f t="shared" si="1"/>
        <v>357.00611358085365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7.2999999999999972</v>
      </c>
      <c r="N54" s="13">
        <f>IF('Données projet'!$A$36&gt;35,N53+M54-V53,IF(A54&lt;'Données projet'!$A$36,$K$205^A54,IF(A54='Données projet'!$A$36,'Données projet'!$B$36,N53+M54-V53)))</f>
        <v>381.20000000000027</v>
      </c>
      <c r="O54" s="13">
        <f>N54*VLOOKUP('Données projet'!$B$9,Paramètres!$A$1:$I$89,3,0)*VLOOKUP('Données projet'!$B$9,Paramètres!$A$1:$I$89,5,0)</f>
        <v>227.95760000000018</v>
      </c>
      <c r="P54" s="13">
        <f t="shared" si="33"/>
        <v>55.840837908542632</v>
      </c>
      <c r="Q54" s="20">
        <f t="shared" si="53"/>
        <v>494.28227935737868</v>
      </c>
      <c r="R54" s="59">
        <f t="shared" si="0"/>
        <v>787.61561269071194</v>
      </c>
      <c r="S54" s="59">
        <f ca="1">AVERAGE(OFFSET($R$3,0,0,'Données projet'!$E$9+1,1))-AVERAGE(OFFSET($H$3,0,0,'Données projet'!$E$9+1,1))</f>
        <v>252.28378247570731</v>
      </c>
      <c r="T54" s="59">
        <f t="shared" si="34"/>
        <v>263.50418595307343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19.368984455148578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2.7870616945597212E-2</v>
      </c>
      <c r="AC54" s="22">
        <f t="shared" si="3"/>
        <v>19.396855072094176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0</v>
      </c>
      <c r="AJ54" s="13" t="e">
        <f>AI54*VLOOKUP('Données projet'!$B$10,Paramètres!$A$1:$I$89,3,0)*VLOOKUP('Données projet'!$B$10,Paramètres!$A$1:$I$89,5,0)</f>
        <v>#N/A</v>
      </c>
      <c r="AK54" s="13" t="e">
        <f t="shared" si="35"/>
        <v>#N/A</v>
      </c>
      <c r="AL54" s="20" t="e">
        <f t="shared" si="4"/>
        <v>#N/A</v>
      </c>
      <c r="AM54" s="59" t="e">
        <f t="shared" si="5"/>
        <v>#N/A</v>
      </c>
      <c r="AN54" s="59" t="e">
        <f ca="1">AVERAGE(OFFSET($AM$3,0,0,'Données projet'!$E$10+1,1))-AVERAGE(OFFSET($H$3,0,0,'Données projet'!$E$10+1,1))</f>
        <v>#N/A</v>
      </c>
      <c r="AO54" s="59" t="e">
        <f t="shared" si="36"/>
        <v>#N/A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 t="e">
        <f>EXP(-LN(2)/35)*AU53+(1-EXP(-LN(2)/35))/(LN(2)/35)*AQ54*AR54*VLOOKUP('Données projet'!$B$10,Paramètres!$A$1:$I$89,3,0)*0.475*44/12</f>
        <v>#N/A</v>
      </c>
      <c r="AV54" s="21" t="e">
        <f>EXP(-LN(2)/25)*AV53+(1-EXP(-LN(2)/25))/(LN(2)/25)*Calculateur!AQ54*Calculateur!AS54*VLOOKUP('Données projet'!$B$10,Paramètres!$A$1:$I$89,3,0)*0.475*44/12</f>
        <v>#N/A</v>
      </c>
      <c r="AW54" s="21" t="e">
        <f>EXP(-LN(2)/2)*AW53+(1-EXP(-LN(2)/2))/(LN(2)/2)*AQ54*AT54*VLOOKUP('Données projet'!$B$10,Paramètres!$A$1:$I$89,3,0)*0.475*44/12</f>
        <v>#N/A</v>
      </c>
      <c r="AX54" s="21" t="e">
        <f t="shared" si="6"/>
        <v>#N/A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1">
        <f t="shared" si="32"/>
        <v>8.8633120224605459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7">
        <f t="shared" si="1"/>
        <v>358.21966843911872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7.2999999999999972</v>
      </c>
      <c r="N55" s="13">
        <f>IF('Données projet'!$A$36&gt;35,N54+M55-V54,IF(A55&lt;'Données projet'!$A$36,$K$205^A55,IF(A55='Données projet'!$A$36,'Données projet'!$B$36,N54+M55-V54)))</f>
        <v>388.50000000000028</v>
      </c>
      <c r="O55" s="13">
        <f>N55*VLOOKUP('Données projet'!$B$9,Paramètres!$A$1:$I$89,3,0)*VLOOKUP('Données projet'!$B$9,Paramètres!$A$1:$I$89,5,0)</f>
        <v>232.32300000000021</v>
      </c>
      <c r="P55" s="13">
        <f t="shared" si="33"/>
        <v>56.784674292431681</v>
      </c>
      <c r="Q55" s="20">
        <f t="shared" si="53"/>
        <v>503.52919939265217</v>
      </c>
      <c r="R55" s="59">
        <f t="shared" si="0"/>
        <v>796.86253272598549</v>
      </c>
      <c r="S55" s="59">
        <f ca="1">AVERAGE(OFFSET($R$3,0,0,'Données projet'!$E$9+1,1))-AVERAGE(OFFSET($H$3,0,0,'Données projet'!$E$9+1,1))</f>
        <v>252.28378247570731</v>
      </c>
      <c r="T55" s="59">
        <f t="shared" si="34"/>
        <v>263.50418595307343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18.989170483897105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1.9707502238084491E-2</v>
      </c>
      <c r="AC55" s="22">
        <f t="shared" si="3"/>
        <v>19.00887798613519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0</v>
      </c>
      <c r="AJ55" s="13" t="e">
        <f>AI55*VLOOKUP('Données projet'!$B$10,Paramètres!$A$1:$I$89,3,0)*VLOOKUP('Données projet'!$B$10,Paramètres!$A$1:$I$89,5,0)</f>
        <v>#N/A</v>
      </c>
      <c r="AK55" s="13" t="e">
        <f t="shared" si="35"/>
        <v>#N/A</v>
      </c>
      <c r="AL55" s="20" t="e">
        <f t="shared" si="4"/>
        <v>#N/A</v>
      </c>
      <c r="AM55" s="59" t="e">
        <f t="shared" si="5"/>
        <v>#N/A</v>
      </c>
      <c r="AN55" s="59" t="e">
        <f ca="1">AVERAGE(OFFSET($AM$3,0,0,'Données projet'!$E$10+1,1))-AVERAGE(OFFSET($H$3,0,0,'Données projet'!$E$10+1,1))</f>
        <v>#N/A</v>
      </c>
      <c r="AO55" s="59" t="e">
        <f t="shared" si="36"/>
        <v>#N/A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 t="e">
        <f>EXP(-LN(2)/35)*AU54+(1-EXP(-LN(2)/35))/(LN(2)/35)*AQ55*AR55*VLOOKUP('Données projet'!$B$10,Paramètres!$A$1:$I$89,3,0)*0.475*44/12</f>
        <v>#N/A</v>
      </c>
      <c r="AV55" s="21" t="e">
        <f>EXP(-LN(2)/25)*AV54+(1-EXP(-LN(2)/25))/(LN(2)/25)*Calculateur!AQ55*Calculateur!AS55*VLOOKUP('Données projet'!$B$10,Paramètres!$A$1:$I$89,3,0)*0.475*44/12</f>
        <v>#N/A</v>
      </c>
      <c r="AW55" s="21" t="e">
        <f>EXP(-LN(2)/2)*AW54+(1-EXP(-LN(2)/2))/(LN(2)/2)*AQ55*AT55*VLOOKUP('Données projet'!$B$10,Paramètres!$A$1:$I$89,3,0)*0.475*44/12</f>
        <v>#N/A</v>
      </c>
      <c r="AX55" s="21" t="e">
        <f t="shared" si="6"/>
        <v>#N/A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1">
        <f t="shared" si="32"/>
        <v>9.0137527764644076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7">
        <f t="shared" si="1"/>
        <v>359.43263608567548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7.2999999999999972</v>
      </c>
      <c r="N56" s="13">
        <f>IF('Données projet'!$A$36&gt;35,N55+M56-V55,IF(A56&lt;'Données projet'!$A$36,$K$205^A56,IF(A56='Données projet'!$A$36,'Données projet'!$B$36,N55+M56-V55)))</f>
        <v>395.8000000000003</v>
      </c>
      <c r="O56" s="13">
        <f>N56*VLOOKUP('Données projet'!$B$9,Paramètres!$A$1:$I$89,3,0)*VLOOKUP('Données projet'!$B$9,Paramètres!$A$1:$I$89,5,0)</f>
        <v>236.6884000000002</v>
      </c>
      <c r="P56" s="13">
        <f t="shared" si="33"/>
        <v>57.726448462488456</v>
      </c>
      <c r="Q56" s="20">
        <f t="shared" si="53"/>
        <v>512.77252773883436</v>
      </c>
      <c r="R56" s="59">
        <f t="shared" si="0"/>
        <v>806.10586107216773</v>
      </c>
      <c r="S56" s="59">
        <f ca="1">AVERAGE(OFFSET($R$3,0,0,'Données projet'!$E$9+1,1))-AVERAGE(OFFSET($H$3,0,0,'Données projet'!$E$9+1,1))</f>
        <v>252.28378247570731</v>
      </c>
      <c r="T56" s="59">
        <f t="shared" si="34"/>
        <v>263.50418595307343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18.616804432958226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1.3935308472798606E-2</v>
      </c>
      <c r="AC56" s="22">
        <f t="shared" si="3"/>
        <v>18.630739741431025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0</v>
      </c>
      <c r="AJ56" s="13" t="e">
        <f>AI56*VLOOKUP('Données projet'!$B$10,Paramètres!$A$1:$I$89,3,0)*VLOOKUP('Données projet'!$B$10,Paramètres!$A$1:$I$89,5,0)</f>
        <v>#N/A</v>
      </c>
      <c r="AK56" s="13" t="e">
        <f t="shared" si="35"/>
        <v>#N/A</v>
      </c>
      <c r="AL56" s="20" t="e">
        <f t="shared" si="4"/>
        <v>#N/A</v>
      </c>
      <c r="AM56" s="59" t="e">
        <f t="shared" si="5"/>
        <v>#N/A</v>
      </c>
      <c r="AN56" s="59" t="e">
        <f ca="1">AVERAGE(OFFSET($AM$3,0,0,'Données projet'!$E$10+1,1))-AVERAGE(OFFSET($H$3,0,0,'Données projet'!$E$10+1,1))</f>
        <v>#N/A</v>
      </c>
      <c r="AO56" s="59" t="e">
        <f t="shared" si="36"/>
        <v>#N/A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 t="e">
        <f>EXP(-LN(2)/35)*AU55+(1-EXP(-LN(2)/35))/(LN(2)/35)*AQ56*AR56*VLOOKUP('Données projet'!$B$10,Paramètres!$A$1:$I$89,3,0)*0.475*44/12</f>
        <v>#N/A</v>
      </c>
      <c r="AV56" s="21" t="e">
        <f>EXP(-LN(2)/25)*AV55+(1-EXP(-LN(2)/25))/(LN(2)/25)*Calculateur!AQ56*Calculateur!AS56*VLOOKUP('Données projet'!$B$10,Paramètres!$A$1:$I$89,3,0)*0.475*44/12</f>
        <v>#N/A</v>
      </c>
      <c r="AW56" s="21" t="e">
        <f>EXP(-LN(2)/2)*AW55+(1-EXP(-LN(2)/2))/(LN(2)/2)*AQ56*AT56*VLOOKUP('Données projet'!$B$10,Paramètres!$A$1:$I$89,3,0)*0.475*44/12</f>
        <v>#N/A</v>
      </c>
      <c r="AX56" s="21" t="e">
        <f t="shared" si="6"/>
        <v>#N/A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1">
        <f t="shared" si="32"/>
        <v>9.163863470361429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7">
        <f t="shared" si="1"/>
        <v>360.64502887754611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>
        <f>VLOOKUP(A57,'Données projet'!$A$35:$I$55,2,0)</f>
        <v>403.09999999999997</v>
      </c>
      <c r="L57" s="12">
        <f>VLOOKUP(A57,'Données projet'!$A$35:$I$55,9,0)</f>
        <v>7.2999999999999972</v>
      </c>
      <c r="M57" s="12">
        <f t="array" ref="M57">INDEX(L:L,MIN(IF(ISNUMBER(L57:L253),ROW(L57:L253),"")))</f>
        <v>7.2999999999999972</v>
      </c>
      <c r="N57" s="13">
        <f>IF('Données projet'!$A$36&gt;35,N56+M57-V56,IF(A57&lt;'Données projet'!$A$36,$K$205^A57,IF(A57='Données projet'!$A$36,'Données projet'!$B$36,N56+M57-V56)))</f>
        <v>403.10000000000031</v>
      </c>
      <c r="O57" s="13">
        <f>N57*VLOOKUP('Données projet'!$B$9,Paramètres!$A$1:$I$89,3,0)*VLOOKUP('Données projet'!$B$9,Paramètres!$A$1:$I$89,5,0)</f>
        <v>241.05380000000022</v>
      </c>
      <c r="P57" s="13">
        <f t="shared" si="33"/>
        <v>58.666202840030898</v>
      </c>
      <c r="Q57" s="20">
        <f t="shared" si="53"/>
        <v>522.01233827972089</v>
      </c>
      <c r="R57" s="59">
        <f t="shared" si="0"/>
        <v>815.34567161305426</v>
      </c>
      <c r="S57" s="59">
        <f ca="1">AVERAGE(OFFSET($R$3,0,0,'Données projet'!$E$9+1,1))-AVERAGE(OFFSET($H$3,0,0,'Données projet'!$E$9+1,1))</f>
        <v>252.28378247570731</v>
      </c>
      <c r="T57" s="59">
        <f t="shared" si="34"/>
        <v>263.50418595307343</v>
      </c>
      <c r="U57" s="15">
        <f>IF(ISNA(VLOOKUP(A57,'Données projet'!$A$35:$I$55,3,0)),0,VLOOKUP(A57,'Données projet'!$A$35:$I$55,3,0))</f>
        <v>9</v>
      </c>
      <c r="V57" s="15">
        <f>IF(ISNA(VLOOKUP(A57,'Données projet'!$A$35:$I$55,4,0)),0,VLOOKUP(A57,'Données projet'!$A$35:$I$55,4,0))</f>
        <v>17.399999999999999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18.251740253157394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9.8537511190422457E-3</v>
      </c>
      <c r="AC57" s="22">
        <f t="shared" si="3"/>
        <v>18.261594004276436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0</v>
      </c>
      <c r="AJ57" s="13" t="e">
        <f>AI57*VLOOKUP('Données projet'!$B$10,Paramètres!$A$1:$I$89,3,0)*VLOOKUP('Données projet'!$B$10,Paramètres!$A$1:$I$89,5,0)</f>
        <v>#N/A</v>
      </c>
      <c r="AK57" s="13" t="e">
        <f t="shared" si="35"/>
        <v>#N/A</v>
      </c>
      <c r="AL57" s="20" t="e">
        <f t="shared" si="4"/>
        <v>#N/A</v>
      </c>
      <c r="AM57" s="59" t="e">
        <f t="shared" si="5"/>
        <v>#N/A</v>
      </c>
      <c r="AN57" s="59" t="e">
        <f ca="1">AVERAGE(OFFSET($AM$3,0,0,'Données projet'!$E$10+1,1))-AVERAGE(OFFSET($H$3,0,0,'Données projet'!$E$10+1,1))</f>
        <v>#N/A</v>
      </c>
      <c r="AO57" s="59" t="e">
        <f t="shared" si="36"/>
        <v>#N/A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 t="e">
        <f>EXP(-LN(2)/35)*AU56+(1-EXP(-LN(2)/35))/(LN(2)/35)*AQ57*AR57*VLOOKUP('Données projet'!$B$10,Paramètres!$A$1:$I$89,3,0)*0.475*44/12</f>
        <v>#N/A</v>
      </c>
      <c r="AV57" s="21" t="e">
        <f>EXP(-LN(2)/25)*AV56+(1-EXP(-LN(2)/25))/(LN(2)/25)*Calculateur!AQ57*Calculateur!AS57*VLOOKUP('Données projet'!$B$10,Paramètres!$A$1:$I$89,3,0)*0.475*44/12</f>
        <v>#N/A</v>
      </c>
      <c r="AW57" s="21" t="e">
        <f>EXP(-LN(2)/2)*AW56+(1-EXP(-LN(2)/2))/(LN(2)/2)*AQ57*AT57*VLOOKUP('Données projet'!$B$10,Paramètres!$A$1:$I$89,3,0)*0.475*44/12</f>
        <v>#N/A</v>
      </c>
      <c r="AX57" s="21" t="e">
        <f t="shared" si="6"/>
        <v>#N/A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1">
        <f t="shared" si="32"/>
        <v>9.3136509212754071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7">
        <f t="shared" si="1"/>
        <v>361.85685868788795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3.0375000000000085</v>
      </c>
      <c r="N58" s="13">
        <f>IF('Données projet'!$A$36&gt;35,N57+M58-V57,IF(A58&lt;'Données projet'!$A$36,$K$205^A58,IF(A58='Données projet'!$A$36,'Données projet'!$B$36,N57+M58-V57)))</f>
        <v>388.73750000000035</v>
      </c>
      <c r="O58" s="13">
        <f>N58*VLOOKUP('Données projet'!$B$9,Paramètres!$A$1:$I$89,3,0)*VLOOKUP('Données projet'!$B$9,Paramètres!$A$1:$I$89,5,0)</f>
        <v>232.46502500000025</v>
      </c>
      <c r="P58" s="13">
        <f t="shared" si="33"/>
        <v>56.81534642612386</v>
      </c>
      <c r="Q58" s="20">
        <f t="shared" si="53"/>
        <v>503.82998023383288</v>
      </c>
      <c r="R58" s="59">
        <f t="shared" si="0"/>
        <v>797.16331356716614</v>
      </c>
      <c r="S58" s="59">
        <f ca="1">AVERAGE(OFFSET($R$3,0,0,'Données projet'!$E$9+1,1))-AVERAGE(OFFSET($H$3,0,0,'Données projet'!$E$9+1,1))</f>
        <v>252.28378247570731</v>
      </c>
      <c r="T58" s="59">
        <f t="shared" si="34"/>
        <v>263.50418595307343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17.893834759255292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6.9676542363993031E-3</v>
      </c>
      <c r="AC58" s="22">
        <f t="shared" si="3"/>
        <v>17.900802413491689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0</v>
      </c>
      <c r="AJ58" s="13" t="e">
        <f>AI58*VLOOKUP('Données projet'!$B$10,Paramètres!$A$1:$I$89,3,0)*VLOOKUP('Données projet'!$B$10,Paramètres!$A$1:$I$89,5,0)</f>
        <v>#N/A</v>
      </c>
      <c r="AK58" s="13" t="e">
        <f t="shared" si="35"/>
        <v>#N/A</v>
      </c>
      <c r="AL58" s="20" t="e">
        <f t="shared" si="4"/>
        <v>#N/A</v>
      </c>
      <c r="AM58" s="59" t="e">
        <f t="shared" si="5"/>
        <v>#N/A</v>
      </c>
      <c r="AN58" s="59" t="e">
        <f ca="1">AVERAGE(OFFSET($AM$3,0,0,'Données projet'!$E$10+1,1))-AVERAGE(OFFSET($H$3,0,0,'Données projet'!$E$10+1,1))</f>
        <v>#N/A</v>
      </c>
      <c r="AO58" s="59" t="e">
        <f t="shared" si="36"/>
        <v>#N/A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 t="e">
        <f>EXP(-LN(2)/35)*AU57+(1-EXP(-LN(2)/35))/(LN(2)/35)*AQ58*AR58*VLOOKUP('Données projet'!$B$10,Paramètres!$A$1:$I$89,3,0)*0.475*44/12</f>
        <v>#N/A</v>
      </c>
      <c r="AV58" s="21" t="e">
        <f>EXP(-LN(2)/25)*AV57+(1-EXP(-LN(2)/25))/(LN(2)/25)*Calculateur!AQ58*Calculateur!AS58*VLOOKUP('Données projet'!$B$10,Paramètres!$A$1:$I$89,3,0)*0.475*44/12</f>
        <v>#N/A</v>
      </c>
      <c r="AW58" s="21" t="e">
        <f>EXP(-LN(2)/2)*AW57+(1-EXP(-LN(2)/2))/(LN(2)/2)*AQ58*AT58*VLOOKUP('Données projet'!$B$10,Paramètres!$A$1:$I$89,3,0)*0.475*44/12</f>
        <v>#N/A</v>
      </c>
      <c r="AX58" s="21" t="e">
        <f t="shared" si="6"/>
        <v>#N/A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1">
        <f t="shared" si="32"/>
        <v>9.4631216842413828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7">
        <f t="shared" si="1"/>
        <v>363.068136933387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3.0375000000000085</v>
      </c>
      <c r="N59" s="13">
        <f>IF('Données projet'!$A$36&gt;35,N58+M59-V58,IF(A59&lt;'Données projet'!$A$36,$K$205^A59,IF(A59='Données projet'!$A$36,'Données projet'!$B$36,N58+M59-V58)))</f>
        <v>391.77500000000038</v>
      </c>
      <c r="O59" s="13">
        <f>N59*VLOOKUP('Données projet'!$B$9,Paramètres!$A$1:$I$89,3,0)*VLOOKUP('Données projet'!$B$9,Paramètres!$A$1:$I$89,5,0)</f>
        <v>234.28145000000023</v>
      </c>
      <c r="P59" s="13">
        <f t="shared" si="33"/>
        <v>57.207435050889636</v>
      </c>
      <c r="Q59" s="20">
        <f t="shared" si="53"/>
        <v>507.67647479696649</v>
      </c>
      <c r="R59" s="59">
        <f t="shared" si="0"/>
        <v>801.0098081302998</v>
      </c>
      <c r="S59" s="59">
        <f ca="1">AVERAGE(OFFSET($R$3,0,0,'Données projet'!$E$9+1,1))-AVERAGE(OFFSET($H$3,0,0,'Données projet'!$E$9+1,1))</f>
        <v>252.28378247570731</v>
      </c>
      <c r="T59" s="59">
        <f t="shared" si="34"/>
        <v>263.50418595307343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17.542947573787814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4.9268755595211228E-3</v>
      </c>
      <c r="AC59" s="22">
        <f t="shared" si="3"/>
        <v>17.547874449347336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0</v>
      </c>
      <c r="AJ59" s="13" t="e">
        <f>AI59*VLOOKUP('Données projet'!$B$10,Paramètres!$A$1:$I$89,3,0)*VLOOKUP('Données projet'!$B$10,Paramètres!$A$1:$I$89,5,0)</f>
        <v>#N/A</v>
      </c>
      <c r="AK59" s="13" t="e">
        <f t="shared" si="35"/>
        <v>#N/A</v>
      </c>
      <c r="AL59" s="20" t="e">
        <f t="shared" si="4"/>
        <v>#N/A</v>
      </c>
      <c r="AM59" s="59" t="e">
        <f t="shared" si="5"/>
        <v>#N/A</v>
      </c>
      <c r="AN59" s="59" t="e">
        <f ca="1">AVERAGE(OFFSET($AM$3,0,0,'Données projet'!$E$10+1,1))-AVERAGE(OFFSET($H$3,0,0,'Données projet'!$E$10+1,1))</f>
        <v>#N/A</v>
      </c>
      <c r="AO59" s="59" t="e">
        <f t="shared" si="36"/>
        <v>#N/A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 t="e">
        <f>EXP(-LN(2)/35)*AU58+(1-EXP(-LN(2)/35))/(LN(2)/35)*AQ59*AR59*VLOOKUP('Données projet'!$B$10,Paramètres!$A$1:$I$89,3,0)*0.475*44/12</f>
        <v>#N/A</v>
      </c>
      <c r="AV59" s="21" t="e">
        <f>EXP(-LN(2)/25)*AV58+(1-EXP(-LN(2)/25))/(LN(2)/25)*Calculateur!AQ59*Calculateur!AS59*VLOOKUP('Données projet'!$B$10,Paramètres!$A$1:$I$89,3,0)*0.475*44/12</f>
        <v>#N/A</v>
      </c>
      <c r="AW59" s="21" t="e">
        <f>EXP(-LN(2)/2)*AW58+(1-EXP(-LN(2)/2))/(LN(2)/2)*AQ59*AT59*VLOOKUP('Données projet'!$B$10,Paramètres!$A$1:$I$89,3,0)*0.475*44/12</f>
        <v>#N/A</v>
      </c>
      <c r="AX59" s="21" t="e">
        <f t="shared" si="6"/>
        <v>#N/A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1">
        <f t="shared" si="32"/>
        <v>9.6122820667787945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7">
        <f t="shared" si="1"/>
        <v>364.27887459963966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3.0375000000000085</v>
      </c>
      <c r="N60" s="13">
        <f>IF('Données projet'!$A$36&gt;35,N59+M60-V59,IF(A60&lt;'Données projet'!$A$36,$K$205^A60,IF(A60='Données projet'!$A$36,'Données projet'!$B$36,N59+M60-V59)))</f>
        <v>394.8125000000004</v>
      </c>
      <c r="O60" s="13">
        <f>N60*VLOOKUP('Données projet'!$B$9,Paramètres!$A$1:$I$89,3,0)*VLOOKUP('Données projet'!$B$9,Paramètres!$A$1:$I$89,5,0)</f>
        <v>236.09787500000024</v>
      </c>
      <c r="P60" s="13">
        <f t="shared" si="33"/>
        <v>57.599169983491038</v>
      </c>
      <c r="Q60" s="20">
        <f t="shared" si="53"/>
        <v>511.52235334624737</v>
      </c>
      <c r="R60" s="59">
        <f t="shared" si="0"/>
        <v>804.85568667958069</v>
      </c>
      <c r="S60" s="59">
        <f ca="1">AVERAGE(OFFSET($R$3,0,0,'Données projet'!$E$9+1,1))-AVERAGE(OFFSET($H$3,0,0,'Données projet'!$E$9+1,1))</f>
        <v>252.28378247570731</v>
      </c>
      <c r="T60" s="59">
        <f t="shared" si="34"/>
        <v>263.50418595307343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17.198941072007305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3.4838271181996516E-3</v>
      </c>
      <c r="AC60" s="22">
        <f t="shared" si="3"/>
        <v>17.202424899125504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0</v>
      </c>
      <c r="AJ60" s="13" t="e">
        <f>AI60*VLOOKUP('Données projet'!$B$10,Paramètres!$A$1:$I$89,3,0)*VLOOKUP('Données projet'!$B$10,Paramètres!$A$1:$I$89,5,0)</f>
        <v>#N/A</v>
      </c>
      <c r="AK60" s="13" t="e">
        <f t="shared" si="35"/>
        <v>#N/A</v>
      </c>
      <c r="AL60" s="20" t="e">
        <f t="shared" si="4"/>
        <v>#N/A</v>
      </c>
      <c r="AM60" s="59" t="e">
        <f t="shared" si="5"/>
        <v>#N/A</v>
      </c>
      <c r="AN60" s="59" t="e">
        <f ca="1">AVERAGE(OFFSET($AM$3,0,0,'Données projet'!$E$10+1,1))-AVERAGE(OFFSET($H$3,0,0,'Données projet'!$E$10+1,1))</f>
        <v>#N/A</v>
      </c>
      <c r="AO60" s="59" t="e">
        <f t="shared" si="36"/>
        <v>#N/A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 t="e">
        <f>EXP(-LN(2)/35)*AU59+(1-EXP(-LN(2)/35))/(LN(2)/35)*AQ60*AR60*VLOOKUP('Données projet'!$B$10,Paramètres!$A$1:$I$89,3,0)*0.475*44/12</f>
        <v>#N/A</v>
      </c>
      <c r="AV60" s="21" t="e">
        <f>EXP(-LN(2)/25)*AV59+(1-EXP(-LN(2)/25))/(LN(2)/25)*Calculateur!AQ60*Calculateur!AS60*VLOOKUP('Données projet'!$B$10,Paramètres!$A$1:$I$89,3,0)*0.475*44/12</f>
        <v>#N/A</v>
      </c>
      <c r="AW60" s="21" t="e">
        <f>EXP(-LN(2)/2)*AW59+(1-EXP(-LN(2)/2))/(LN(2)/2)*AQ60*AT60*VLOOKUP('Données projet'!$B$10,Paramètres!$A$1:$I$89,3,0)*0.475*44/12</f>
        <v>#N/A</v>
      </c>
      <c r="AX60" s="21" t="e">
        <f t="shared" si="6"/>
        <v>#N/A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1">
        <f t="shared" si="32"/>
        <v>9.7611381424130617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7">
        <f t="shared" si="1"/>
        <v>365.48908226470269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3.0375000000000085</v>
      </c>
      <c r="N61" s="13">
        <f>IF('Données projet'!$A$36&gt;35,N60+M61-V60,IF(A61&lt;'Données projet'!$A$36,$K$205^A61,IF(A61='Données projet'!$A$36,'Données projet'!$B$36,N60+M61-V60)))</f>
        <v>397.85000000000042</v>
      </c>
      <c r="O61" s="13">
        <f>N61*VLOOKUP('Données projet'!$B$9,Paramètres!$A$1:$I$89,3,0)*VLOOKUP('Données projet'!$B$9,Paramètres!$A$1:$I$89,5,0)</f>
        <v>237.91430000000025</v>
      </c>
      <c r="P61" s="13">
        <f t="shared" si="33"/>
        <v>57.990554260508603</v>
      </c>
      <c r="Q61" s="20">
        <f t="shared" si="53"/>
        <v>515.3676211703862</v>
      </c>
      <c r="R61" s="59">
        <f t="shared" si="0"/>
        <v>808.70095450371946</v>
      </c>
      <c r="S61" s="59">
        <f ca="1">AVERAGE(OFFSET($R$3,0,0,'Données projet'!$E$9+1,1))-AVERAGE(OFFSET($H$3,0,0,'Données projet'!$E$9+1,1))</f>
        <v>252.28378247570731</v>
      </c>
      <c r="T61" s="59">
        <f t="shared" si="34"/>
        <v>263.50418595307343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16.861680327903464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2.4634377797605614E-3</v>
      </c>
      <c r="AC61" s="22">
        <f t="shared" si="3"/>
        <v>16.864143765683224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0</v>
      </c>
      <c r="AJ61" s="13" t="e">
        <f>AI61*VLOOKUP('Données projet'!$B$10,Paramètres!$A$1:$I$89,3,0)*VLOOKUP('Données projet'!$B$10,Paramètres!$A$1:$I$89,5,0)</f>
        <v>#N/A</v>
      </c>
      <c r="AK61" s="13" t="e">
        <f t="shared" si="35"/>
        <v>#N/A</v>
      </c>
      <c r="AL61" s="20" t="e">
        <f t="shared" si="4"/>
        <v>#N/A</v>
      </c>
      <c r="AM61" s="59" t="e">
        <f t="shared" si="5"/>
        <v>#N/A</v>
      </c>
      <c r="AN61" s="59" t="e">
        <f ca="1">AVERAGE(OFFSET($AM$3,0,0,'Données projet'!$E$10+1,1))-AVERAGE(OFFSET($H$3,0,0,'Données projet'!$E$10+1,1))</f>
        <v>#N/A</v>
      </c>
      <c r="AO61" s="59" t="e">
        <f t="shared" si="36"/>
        <v>#N/A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 t="e">
        <f>EXP(-LN(2)/35)*AU60+(1-EXP(-LN(2)/35))/(LN(2)/35)*AQ61*AR61*VLOOKUP('Données projet'!$B$10,Paramètres!$A$1:$I$89,3,0)*0.475*44/12</f>
        <v>#N/A</v>
      </c>
      <c r="AV61" s="21" t="e">
        <f>EXP(-LN(2)/25)*AV60+(1-EXP(-LN(2)/25))/(LN(2)/25)*Calculateur!AQ61*Calculateur!AS61*VLOOKUP('Données projet'!$B$10,Paramètres!$A$1:$I$89,3,0)*0.475*44/12</f>
        <v>#N/A</v>
      </c>
      <c r="AW61" s="21" t="e">
        <f>EXP(-LN(2)/2)*AW60+(1-EXP(-LN(2)/2))/(LN(2)/2)*AQ61*AT61*VLOOKUP('Données projet'!$B$10,Paramètres!$A$1:$I$89,3,0)*0.475*44/12</f>
        <v>#N/A</v>
      </c>
      <c r="AX61" s="21" t="e">
        <f t="shared" si="6"/>
        <v>#N/A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1">
        <f t="shared" si="32"/>
        <v>9.9096957632381564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7">
        <f t="shared" si="1"/>
        <v>366.69877012097305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3.0375000000000085</v>
      </c>
      <c r="N62" s="13">
        <f>IF('Données projet'!$A$36&gt;35,N61+M62-V61,IF(A62&lt;'Données projet'!$A$36,$K$205^A62,IF(A62='Données projet'!$A$36,'Données projet'!$B$36,N61+M62-V61)))</f>
        <v>400.88750000000044</v>
      </c>
      <c r="O62" s="13">
        <f>N62*VLOOKUP('Données projet'!$B$9,Paramètres!$A$1:$I$89,3,0)*VLOOKUP('Données projet'!$B$9,Paramètres!$A$1:$I$89,5,0)</f>
        <v>239.73072500000029</v>
      </c>
      <c r="P62" s="13">
        <f t="shared" si="33"/>
        <v>58.381590869477499</v>
      </c>
      <c r="Q62" s="20">
        <f t="shared" si="53"/>
        <v>519.2122834726739</v>
      </c>
      <c r="R62" s="59">
        <f t="shared" si="0"/>
        <v>812.54561680600727</v>
      </c>
      <c r="S62" s="59">
        <f ca="1">AVERAGE(OFFSET($R$3,0,0,'Données projet'!$E$9+1,1))-AVERAGE(OFFSET($H$3,0,0,'Données projet'!$E$9+1,1))</f>
        <v>252.28378247570731</v>
      </c>
      <c r="T62" s="59">
        <f t="shared" si="34"/>
        <v>263.50418595307343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16.531033061282756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1.7419135590998258E-3</v>
      </c>
      <c r="AC62" s="22">
        <f t="shared" si="3"/>
        <v>16.532774974841857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0</v>
      </c>
      <c r="AJ62" s="13" t="e">
        <f>AI62*VLOOKUP('Données projet'!$B$10,Paramètres!$A$1:$I$89,3,0)*VLOOKUP('Données projet'!$B$10,Paramètres!$A$1:$I$89,5,0)</f>
        <v>#N/A</v>
      </c>
      <c r="AK62" s="13" t="e">
        <f t="shared" si="35"/>
        <v>#N/A</v>
      </c>
      <c r="AL62" s="20" t="e">
        <f t="shared" si="4"/>
        <v>#N/A</v>
      </c>
      <c r="AM62" s="59" t="e">
        <f t="shared" si="5"/>
        <v>#N/A</v>
      </c>
      <c r="AN62" s="59" t="e">
        <f ca="1">AVERAGE(OFFSET($AM$3,0,0,'Données projet'!$E$10+1,1))-AVERAGE(OFFSET($H$3,0,0,'Données projet'!$E$10+1,1))</f>
        <v>#N/A</v>
      </c>
      <c r="AO62" s="59" t="e">
        <f t="shared" si="36"/>
        <v>#N/A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 t="e">
        <f>EXP(-LN(2)/35)*AU61+(1-EXP(-LN(2)/35))/(LN(2)/35)*AQ62*AR62*VLOOKUP('Données projet'!$B$10,Paramètres!$A$1:$I$89,3,0)*0.475*44/12</f>
        <v>#N/A</v>
      </c>
      <c r="AV62" s="21" t="e">
        <f>EXP(-LN(2)/25)*AV61+(1-EXP(-LN(2)/25))/(LN(2)/25)*Calculateur!AQ62*Calculateur!AS62*VLOOKUP('Données projet'!$B$10,Paramètres!$A$1:$I$89,3,0)*0.475*44/12</f>
        <v>#N/A</v>
      </c>
      <c r="AW62" s="21" t="e">
        <f>EXP(-LN(2)/2)*AW61+(1-EXP(-LN(2)/2))/(LN(2)/2)*AQ62*AT62*VLOOKUP('Données projet'!$B$10,Paramètres!$A$1:$I$89,3,0)*0.475*44/12</f>
        <v>#N/A</v>
      </c>
      <c r="AX62" s="21" t="e">
        <f t="shared" si="6"/>
        <v>#N/A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1">
        <f t="shared" si="32"/>
        <v>10.05796057160342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7">
        <f t="shared" si="1"/>
        <v>367.90794799554254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3.0375000000000085</v>
      </c>
      <c r="N63" s="13">
        <f>IF('Données projet'!$A$36&gt;35,N62+M63-V62,IF(A63&lt;'Données projet'!$A$36,$K$205^A63,IF(A63='Données projet'!$A$36,'Données projet'!$B$36,N62+M63-V62)))</f>
        <v>403.92500000000047</v>
      </c>
      <c r="O63" s="13">
        <f>N63*VLOOKUP('Données projet'!$B$9,Paramètres!$A$1:$I$89,3,0)*VLOOKUP('Données projet'!$B$9,Paramètres!$A$1:$I$89,5,0)</f>
        <v>241.5471500000003</v>
      </c>
      <c r="P63" s="13">
        <f t="shared" si="33"/>
        <v>58.772282750044901</v>
      </c>
      <c r="Q63" s="20">
        <f t="shared" si="53"/>
        <v>523.05634537299545</v>
      </c>
      <c r="R63" s="59">
        <f t="shared" si="0"/>
        <v>816.38967870632882</v>
      </c>
      <c r="S63" s="59">
        <f ca="1">AVERAGE(OFFSET($R$3,0,0,'Données projet'!$E$9+1,1))-AVERAGE(OFFSET($H$3,0,0,'Données projet'!$E$9+1,1))</f>
        <v>252.28378247570731</v>
      </c>
      <c r="T63" s="59">
        <f t="shared" si="34"/>
        <v>263.50418595307343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16.20686958588556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1.2317188898802807E-3</v>
      </c>
      <c r="AC63" s="22">
        <f t="shared" si="3"/>
        <v>16.20810130477544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0</v>
      </c>
      <c r="AJ63" s="13" t="e">
        <f>AI63*VLOOKUP('Données projet'!$B$10,Paramètres!$A$1:$I$89,3,0)*VLOOKUP('Données projet'!$B$10,Paramètres!$A$1:$I$89,5,0)</f>
        <v>#N/A</v>
      </c>
      <c r="AK63" s="13" t="e">
        <f t="shared" si="35"/>
        <v>#N/A</v>
      </c>
      <c r="AL63" s="20" t="e">
        <f t="shared" si="4"/>
        <v>#N/A</v>
      </c>
      <c r="AM63" s="59" t="e">
        <f t="shared" si="5"/>
        <v>#N/A</v>
      </c>
      <c r="AN63" s="59" t="e">
        <f ca="1">AVERAGE(OFFSET($AM$3,0,0,'Données projet'!$E$10+1,1))-AVERAGE(OFFSET($H$3,0,0,'Données projet'!$E$10+1,1))</f>
        <v>#N/A</v>
      </c>
      <c r="AO63" s="59" t="e">
        <f t="shared" si="36"/>
        <v>#N/A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 t="e">
        <f>EXP(-LN(2)/35)*AU62+(1-EXP(-LN(2)/35))/(LN(2)/35)*AQ63*AR63*VLOOKUP('Données projet'!$B$10,Paramètres!$A$1:$I$89,3,0)*0.475*44/12</f>
        <v>#N/A</v>
      </c>
      <c r="AV63" s="21" t="e">
        <f>EXP(-LN(2)/25)*AV62+(1-EXP(-LN(2)/25))/(LN(2)/25)*Calculateur!AQ63*Calculateur!AS63*VLOOKUP('Données projet'!$B$10,Paramètres!$A$1:$I$89,3,0)*0.475*44/12</f>
        <v>#N/A</v>
      </c>
      <c r="AW63" s="21" t="e">
        <f>EXP(-LN(2)/2)*AW62+(1-EXP(-LN(2)/2))/(LN(2)/2)*AQ63*AT63*VLOOKUP('Données projet'!$B$10,Paramètres!$A$1:$I$89,3,0)*0.475*44/12</f>
        <v>#N/A</v>
      </c>
      <c r="AX63" s="21" t="e">
        <f t="shared" si="6"/>
        <v>#N/A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1">
        <f t="shared" si="32"/>
        <v>10.205938010999123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7">
        <f t="shared" si="1"/>
        <v>369.11662536915674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3.0375000000000085</v>
      </c>
      <c r="N64" s="13">
        <f>IF('Données projet'!$A$36&gt;35,N63+M64-V63,IF(A64&lt;'Données projet'!$A$36,$K$205^A64,IF(A64='Données projet'!$A$36,'Données projet'!$B$36,N63+M64-V63)))</f>
        <v>406.96250000000049</v>
      </c>
      <c r="O64" s="13">
        <f>N64*VLOOKUP('Données projet'!$B$9,Paramètres!$A$1:$I$89,3,0)*VLOOKUP('Données projet'!$B$9,Paramètres!$A$1:$I$89,5,0)</f>
        <v>243.36357500000031</v>
      </c>
      <c r="P64" s="13">
        <f t="shared" si="33"/>
        <v>59.162632795092129</v>
      </c>
      <c r="Q64" s="20">
        <f t="shared" si="53"/>
        <v>526.89981190978597</v>
      </c>
      <c r="R64" s="59">
        <f t="shared" si="0"/>
        <v>820.23314524311922</v>
      </c>
      <c r="S64" s="59">
        <f ca="1">AVERAGE(OFFSET($R$3,0,0,'Données projet'!$E$9+1,1))-AVERAGE(OFFSET($H$3,0,0,'Données projet'!$E$9+1,1))</f>
        <v>252.28378247570731</v>
      </c>
      <c r="T64" s="59">
        <f t="shared" si="34"/>
        <v>263.50418595307343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15.889062758520707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8.7095677954991289E-4</v>
      </c>
      <c r="AC64" s="22">
        <f t="shared" si="3"/>
        <v>15.889933715300257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 t="e">
        <f>AI64*VLOOKUP('Données projet'!$B$10,Paramètres!$A$1:$I$89,3,0)*VLOOKUP('Données projet'!$B$10,Paramètres!$A$1:$I$89,5,0)</f>
        <v>#N/A</v>
      </c>
      <c r="AK64" s="13" t="e">
        <f t="shared" si="35"/>
        <v>#N/A</v>
      </c>
      <c r="AL64" s="20" t="e">
        <f t="shared" si="4"/>
        <v>#N/A</v>
      </c>
      <c r="AM64" s="59" t="e">
        <f t="shared" si="5"/>
        <v>#N/A</v>
      </c>
      <c r="AN64" s="59" t="e">
        <f ca="1">AVERAGE(OFFSET($AM$3,0,0,'Données projet'!$E$10+1,1))-AVERAGE(OFFSET($H$3,0,0,'Données projet'!$E$10+1,1))</f>
        <v>#N/A</v>
      </c>
      <c r="AO64" s="59" t="e">
        <f t="shared" si="36"/>
        <v>#N/A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 t="e">
        <f>EXP(-LN(2)/35)*AU63+(1-EXP(-LN(2)/35))/(LN(2)/35)*AQ64*AR64*VLOOKUP('Données projet'!$B$10,Paramètres!$A$1:$I$89,3,0)*0.475*44/12</f>
        <v>#N/A</v>
      </c>
      <c r="AV64" s="21" t="e">
        <f>EXP(-LN(2)/25)*AV63+(1-EXP(-LN(2)/25))/(LN(2)/25)*Calculateur!AQ64*Calculateur!AS64*VLOOKUP('Données projet'!$B$10,Paramètres!$A$1:$I$89,3,0)*0.475*44/12</f>
        <v>#N/A</v>
      </c>
      <c r="AW64" s="21" t="e">
        <f>EXP(-LN(2)/2)*AW63+(1-EXP(-LN(2)/2))/(LN(2)/2)*AQ64*AT64*VLOOKUP('Données projet'!$B$10,Paramètres!$A$1:$I$89,3,0)*0.475*44/12</f>
        <v>#N/A</v>
      </c>
      <c r="AX64" s="21" t="e">
        <f t="shared" si="6"/>
        <v>#N/A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1">
        <f t="shared" si="32"/>
        <v>10.353633336208009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7">
        <f t="shared" si="1"/>
        <v>370.32481139389552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>
        <f>VLOOKUP(A65,'Données projet'!$A$35:$I$55,2,0)</f>
        <v>410.00000000000006</v>
      </c>
      <c r="L65" s="12">
        <f>VLOOKUP(A65,'Données projet'!$A$35:$I$55,9,0)</f>
        <v>3.0375000000000085</v>
      </c>
      <c r="M65" s="12">
        <f t="array" ref="M65">INDEX(L:L,MIN(IF(ISNUMBER(L65:L261),ROW(L65:L261),"")))</f>
        <v>3.0375000000000085</v>
      </c>
      <c r="N65" s="13">
        <f>IF('Données projet'!$A$36&gt;35,N64+M65-V64,IF(A65&lt;'Données projet'!$A$36,$K$205^A65,IF(A65='Données projet'!$A$36,'Données projet'!$B$36,N64+M65-V64)))</f>
        <v>410.00000000000051</v>
      </c>
      <c r="O65" s="13">
        <f>N65*VLOOKUP('Données projet'!$B$9,Paramètres!$A$1:$I$89,3,0)*VLOOKUP('Données projet'!$B$9,Paramètres!$A$1:$I$89,5,0)</f>
        <v>245.18000000000032</v>
      </c>
      <c r="P65" s="13">
        <f t="shared" si="33"/>
        <v>59.552643851821543</v>
      </c>
      <c r="Q65" s="20">
        <f t="shared" si="53"/>
        <v>530.74268804192309</v>
      </c>
      <c r="R65" s="59">
        <f t="shared" si="0"/>
        <v>824.07602137525646</v>
      </c>
      <c r="S65" s="59">
        <f ca="1">AVERAGE(OFFSET($R$3,0,0,'Données projet'!$E$9+1,1))-AVERAGE(OFFSET($H$3,0,0,'Données projet'!$E$9+1,1))</f>
        <v>252.28378247570731</v>
      </c>
      <c r="T65" s="59">
        <f t="shared" si="34"/>
        <v>263.50418595307343</v>
      </c>
      <c r="U65" s="15">
        <f>IF(ISNA(VLOOKUP(A65,'Données projet'!$A$35:$I$55,3,0)),0,VLOOKUP(A65,'Données projet'!$A$35:$I$55,3,0))</f>
        <v>10</v>
      </c>
      <c r="V65" s="15">
        <f>IF(ISNA(VLOOKUP(A65,'Données projet'!$A$35:$I$55,4,0)),0,VLOOKUP(A65,'Données projet'!$A$35:$I$55,4,0))</f>
        <v>410.00000000000006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15.577487929197455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6.1585944494014036E-4</v>
      </c>
      <c r="AC65" s="22">
        <f t="shared" si="3"/>
        <v>15.578103788642395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 t="e">
        <f>AI65*VLOOKUP('Données projet'!$B$10,Paramètres!$A$1:$I$89,3,0)*VLOOKUP('Données projet'!$B$10,Paramètres!$A$1:$I$89,5,0)</f>
        <v>#N/A</v>
      </c>
      <c r="AK65" s="13" t="e">
        <f t="shared" si="35"/>
        <v>#N/A</v>
      </c>
      <c r="AL65" s="20" t="e">
        <f t="shared" si="4"/>
        <v>#N/A</v>
      </c>
      <c r="AM65" s="59" t="e">
        <f t="shared" si="5"/>
        <v>#N/A</v>
      </c>
      <c r="AN65" s="59" t="e">
        <f ca="1">AVERAGE(OFFSET($AM$3,0,0,'Données projet'!$E$10+1,1))-AVERAGE(OFFSET($H$3,0,0,'Données projet'!$E$10+1,1))</f>
        <v>#N/A</v>
      </c>
      <c r="AO65" s="59" t="e">
        <f t="shared" si="36"/>
        <v>#N/A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 t="e">
        <f>EXP(-LN(2)/35)*AU64+(1-EXP(-LN(2)/35))/(LN(2)/35)*AQ65*AR65*VLOOKUP('Données projet'!$B$10,Paramètres!$A$1:$I$89,3,0)*0.475*44/12</f>
        <v>#N/A</v>
      </c>
      <c r="AV65" s="21" t="e">
        <f>EXP(-LN(2)/25)*AV64+(1-EXP(-LN(2)/25))/(LN(2)/25)*Calculateur!AQ65*Calculateur!AS65*VLOOKUP('Données projet'!$B$10,Paramètres!$A$1:$I$89,3,0)*0.475*44/12</f>
        <v>#N/A</v>
      </c>
      <c r="AW65" s="21" t="e">
        <f>EXP(-LN(2)/2)*AW64+(1-EXP(-LN(2)/2))/(LN(2)/2)*AQ65*AT65*VLOOKUP('Données projet'!$B$10,Paramètres!$A$1:$I$89,3,0)*0.475*44/12</f>
        <v>#N/A</v>
      </c>
      <c r="AX65" s="21" t="e">
        <f t="shared" si="6"/>
        <v>#N/A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1">
        <f t="shared" si="32"/>
        <v>10.501051622783336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7">
        <f t="shared" si="1"/>
        <v>371.53251490968091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4.5474735088646412E-13</v>
      </c>
      <c r="O66" s="13">
        <f>N66*VLOOKUP('Données projet'!$B$9,Paramètres!$A$1:$I$89,3,0)*VLOOKUP('Données projet'!$B$9,Paramètres!$A$1:$I$89,5,0)</f>
        <v>2.7193891583010558E-13</v>
      </c>
      <c r="P66" s="13">
        <f t="shared" si="33"/>
        <v>3.6362267729089988E-12</v>
      </c>
      <c r="Q66" s="20">
        <f t="shared" si="53"/>
        <v>6.8067219078872727E-12</v>
      </c>
      <c r="R66" s="59">
        <f t="shared" si="0"/>
        <v>293.33333333334014</v>
      </c>
      <c r="S66" s="59">
        <f ca="1">AVERAGE(OFFSET($R$3,0,0,'Données projet'!$E$9+1,1))-AVERAGE(OFFSET($H$3,0,0,'Données projet'!$E$9+1,1))</f>
        <v>252.28378247570731</v>
      </c>
      <c r="T66" s="59">
        <f t="shared" si="34"/>
        <v>263.50418595307343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15.27202289223535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4.3547838977495644E-4</v>
      </c>
      <c r="AC66" s="22">
        <f t="shared" si="3"/>
        <v>15.272458370625126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 t="e">
        <f>AI66*VLOOKUP('Données projet'!$B$10,Paramètres!$A$1:$I$89,3,0)*VLOOKUP('Données projet'!$B$10,Paramètres!$A$1:$I$89,5,0)</f>
        <v>#N/A</v>
      </c>
      <c r="AK66" s="13" t="e">
        <f t="shared" si="35"/>
        <v>#N/A</v>
      </c>
      <c r="AL66" s="20" t="e">
        <f t="shared" si="4"/>
        <v>#N/A</v>
      </c>
      <c r="AM66" s="59" t="e">
        <f t="shared" si="5"/>
        <v>#N/A</v>
      </c>
      <c r="AN66" s="59" t="e">
        <f ca="1">AVERAGE(OFFSET($AM$3,0,0,'Données projet'!$E$10+1,1))-AVERAGE(OFFSET($H$3,0,0,'Données projet'!$E$10+1,1))</f>
        <v>#N/A</v>
      </c>
      <c r="AO66" s="59" t="e">
        <f t="shared" si="36"/>
        <v>#N/A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 t="e">
        <f>EXP(-LN(2)/35)*AU65+(1-EXP(-LN(2)/35))/(LN(2)/35)*AQ66*AR66*VLOOKUP('Données projet'!$B$10,Paramètres!$A$1:$I$89,3,0)*0.475*44/12</f>
        <v>#N/A</v>
      </c>
      <c r="AV66" s="21" t="e">
        <f>EXP(-LN(2)/25)*AV65+(1-EXP(-LN(2)/25))/(LN(2)/25)*Calculateur!AQ66*Calculateur!AS66*VLOOKUP('Données projet'!$B$10,Paramètres!$A$1:$I$89,3,0)*0.475*44/12</f>
        <v>#N/A</v>
      </c>
      <c r="AW66" s="21" t="e">
        <f>EXP(-LN(2)/2)*AW65+(1-EXP(-LN(2)/2))/(LN(2)/2)*AQ66*AT66*VLOOKUP('Données projet'!$B$10,Paramètres!$A$1:$I$89,3,0)*0.475*44/12</f>
        <v>#N/A</v>
      </c>
      <c r="AX66" s="21" t="e">
        <f t="shared" si="6"/>
        <v>#N/A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1">
        <f t="shared" si="32"/>
        <v>10.648197775908036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7">
        <f t="shared" si="1"/>
        <v>372.73974445970646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4.5474735088646412E-13</v>
      </c>
      <c r="O67" s="13">
        <f>N67*VLOOKUP('Données projet'!$B$9,Paramètres!$A$1:$I$89,3,0)*VLOOKUP('Données projet'!$B$9,Paramètres!$A$1:$I$89,5,0)</f>
        <v>2.7193891583010558E-13</v>
      </c>
      <c r="P67" s="13">
        <f t="shared" si="33"/>
        <v>3.6362267729089988E-12</v>
      </c>
      <c r="Q67" s="20">
        <f t="shared" ref="Q67:Q98" si="54">(O67+P67)*0.475*44/12</f>
        <v>6.8067219078872727E-12</v>
      </c>
      <c r="R67" s="59">
        <f t="shared" ref="R67:R130" si="55">Q67+(I67+J67)*44/12</f>
        <v>293.33333333334014</v>
      </c>
      <c r="S67" s="59">
        <f ca="1">AVERAGE(OFFSET($R$3,0,0,'Données projet'!$E$9+1,1))-AVERAGE(OFFSET($H$3,0,0,'Données projet'!$E$9+1,1))</f>
        <v>252.28378247570731</v>
      </c>
      <c r="T67" s="59">
        <f t="shared" si="34"/>
        <v>263.50418595307343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14.972547838332797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3.0792972247007018E-4</v>
      </c>
      <c r="AC67" s="22">
        <f t="shared" si="3"/>
        <v>14.972855768055268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 t="e">
        <f>AI67*VLOOKUP('Données projet'!$B$10,Paramètres!$A$1:$I$89,3,0)*VLOOKUP('Données projet'!$B$10,Paramètres!$A$1:$I$89,5,0)</f>
        <v>#N/A</v>
      </c>
      <c r="AK67" s="13" t="e">
        <f t="shared" si="35"/>
        <v>#N/A</v>
      </c>
      <c r="AL67" s="20" t="e">
        <f t="shared" si="4"/>
        <v>#N/A</v>
      </c>
      <c r="AM67" s="59" t="e">
        <f t="shared" si="5"/>
        <v>#N/A</v>
      </c>
      <c r="AN67" s="59" t="e">
        <f ca="1">AVERAGE(OFFSET($AM$3,0,0,'Données projet'!$E$10+1,1))-AVERAGE(OFFSET($H$3,0,0,'Données projet'!$E$10+1,1))</f>
        <v>#N/A</v>
      </c>
      <c r="AO67" s="59" t="e">
        <f t="shared" si="36"/>
        <v>#N/A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 t="e">
        <f>EXP(-LN(2)/35)*AU66+(1-EXP(-LN(2)/35))/(LN(2)/35)*AQ67*AR67*VLOOKUP('Données projet'!$B$10,Paramètres!$A$1:$I$89,3,0)*0.475*44/12</f>
        <v>#N/A</v>
      </c>
      <c r="AV67" s="21" t="e">
        <f>EXP(-LN(2)/25)*AV66+(1-EXP(-LN(2)/25))/(LN(2)/25)*Calculateur!AQ67*Calculateur!AS67*VLOOKUP('Données projet'!$B$10,Paramètres!$A$1:$I$89,3,0)*0.475*44/12</f>
        <v>#N/A</v>
      </c>
      <c r="AW67" s="21" t="e">
        <f>EXP(-LN(2)/2)*AW66+(1-EXP(-LN(2)/2))/(LN(2)/2)*AQ67*AT67*VLOOKUP('Données projet'!$B$10,Paramètres!$A$1:$I$89,3,0)*0.475*44/12</f>
        <v>#N/A</v>
      </c>
      <c r="AX67" s="21" t="e">
        <f t="shared" si="6"/>
        <v>#N/A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1">
        <f t="shared" si="32"/>
        <v>10.795076538684501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7">
        <f t="shared" ref="H68:H131" si="56">(B68+E68+F68)*44/12+(C68+D68)*0.475*44/12</f>
        <v>373.94650830487547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4.5474735088646412E-13</v>
      </c>
      <c r="O68" s="13">
        <f>N68*VLOOKUP('Données projet'!$B$9,Paramètres!$A$1:$I$89,3,0)*VLOOKUP('Données projet'!$B$9,Paramètres!$A$1:$I$89,5,0)</f>
        <v>2.7193891583010558E-13</v>
      </c>
      <c r="P68" s="13">
        <f t="shared" si="33"/>
        <v>3.6362267729089988E-12</v>
      </c>
      <c r="Q68" s="20">
        <f t="shared" si="54"/>
        <v>6.8067219078872727E-12</v>
      </c>
      <c r="R68" s="59">
        <f t="shared" si="55"/>
        <v>293.33333333334014</v>
      </c>
      <c r="S68" s="59">
        <f ca="1">AVERAGE(OFFSET($R$3,0,0,'Données projet'!$E$9+1,1))-AVERAGE(OFFSET($H$3,0,0,'Données projet'!$E$9+1,1))</f>
        <v>252.28378247570731</v>
      </c>
      <c r="T68" s="59">
        <f t="shared" si="34"/>
        <v>263.50418595307343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14.678945307575528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2.1773919488747822E-4</v>
      </c>
      <c r="AC68" s="22">
        <f t="shared" ref="AC68:AC131" si="57">SUM(Z68:AB68)</f>
        <v>14.679163046770416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 t="e">
        <f>AI68*VLOOKUP('Données projet'!$B$10,Paramètres!$A$1:$I$89,3,0)*VLOOKUP('Données projet'!$B$10,Paramètres!$A$1:$I$89,5,0)</f>
        <v>#N/A</v>
      </c>
      <c r="AK68" s="13" t="e">
        <f t="shared" si="35"/>
        <v>#N/A</v>
      </c>
      <c r="AL68" s="20" t="e">
        <f t="shared" ref="AL68:AL131" si="58">(AJ68+AK68)*0.475*44/12</f>
        <v>#N/A</v>
      </c>
      <c r="AM68" s="59" t="e">
        <f t="shared" ref="AM68:AM131" si="59">AL68+(AD68+AE68)*44/12</f>
        <v>#N/A</v>
      </c>
      <c r="AN68" s="59" t="e">
        <f ca="1">AVERAGE(OFFSET($AM$3,0,0,'Données projet'!$E$10+1,1))-AVERAGE(OFFSET($H$3,0,0,'Données projet'!$E$10+1,1))</f>
        <v>#N/A</v>
      </c>
      <c r="AO68" s="59" t="e">
        <f t="shared" si="36"/>
        <v>#N/A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 t="e">
        <f>EXP(-LN(2)/35)*AU67+(1-EXP(-LN(2)/35))/(LN(2)/35)*AQ68*AR68*VLOOKUP('Données projet'!$B$10,Paramètres!$A$1:$I$89,3,0)*0.475*44/12</f>
        <v>#N/A</v>
      </c>
      <c r="AV68" s="21" t="e">
        <f>EXP(-LN(2)/25)*AV67+(1-EXP(-LN(2)/25))/(LN(2)/25)*Calculateur!AQ68*Calculateur!AS68*VLOOKUP('Données projet'!$B$10,Paramètres!$A$1:$I$89,3,0)*0.475*44/12</f>
        <v>#N/A</v>
      </c>
      <c r="AW68" s="21" t="e">
        <f>EXP(-LN(2)/2)*AW67+(1-EXP(-LN(2)/2))/(LN(2)/2)*AQ68*AT68*VLOOKUP('Données projet'!$B$10,Paramètres!$A$1:$I$89,3,0)*0.475*44/12</f>
        <v>#N/A</v>
      </c>
      <c r="AX68" s="21" t="e">
        <f t="shared" ref="AX68:AX131" si="60">SUM(AU68:AW68)</f>
        <v>#N/A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1">
        <f t="shared" ref="D69:D132" si="86">IFERROR(EXP(-1.0587+0.8836*LN(C69)+0.284),0)</f>
        <v>10.941692499899732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7">
        <f t="shared" si="56"/>
        <v>375.15281443732528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4.5474735088646412E-13</v>
      </c>
      <c r="O69" s="13">
        <f>N69*VLOOKUP('Données projet'!$B$9,Paramètres!$A$1:$I$89,3,0)*VLOOKUP('Données projet'!$B$9,Paramètres!$A$1:$I$89,5,0)</f>
        <v>2.7193891583010558E-13</v>
      </c>
      <c r="P69" s="13">
        <f t="shared" ref="P69:P132" si="87">EXP(-1.0587+0.8836*LN(O69)+0.284)</f>
        <v>3.6362267729089988E-12</v>
      </c>
      <c r="Q69" s="20">
        <f t="shared" si="54"/>
        <v>6.8067219078872727E-12</v>
      </c>
      <c r="R69" s="59">
        <f t="shared" si="55"/>
        <v>293.33333333334014</v>
      </c>
      <c r="S69" s="59">
        <f ca="1">AVERAGE(OFFSET($R$3,0,0,'Données projet'!$E$9+1,1))-AVERAGE(OFFSET($H$3,0,0,'Données projet'!$E$9+1,1))</f>
        <v>252.28378247570731</v>
      </c>
      <c r="T69" s="59">
        <f t="shared" ref="T69:T132" si="88">$T$3</f>
        <v>263.50418595307343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14.391100143366547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1.5396486123503509E-4</v>
      </c>
      <c r="AC69" s="22">
        <f t="shared" si="57"/>
        <v>14.391254108227782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 t="e">
        <f>AI69*VLOOKUP('Données projet'!$B$10,Paramètres!$A$1:$I$89,3,0)*VLOOKUP('Données projet'!$B$10,Paramètres!$A$1:$I$89,5,0)</f>
        <v>#N/A</v>
      </c>
      <c r="AK69" s="13" t="e">
        <f t="shared" ref="AK69:AK132" si="89">EXP(-1.0587+0.8836*LN(AJ69)+0.284)</f>
        <v>#N/A</v>
      </c>
      <c r="AL69" s="20" t="e">
        <f t="shared" si="58"/>
        <v>#N/A</v>
      </c>
      <c r="AM69" s="59" t="e">
        <f t="shared" si="59"/>
        <v>#N/A</v>
      </c>
      <c r="AN69" s="59" t="e">
        <f ca="1">AVERAGE(OFFSET($AM$3,0,0,'Données projet'!$E$10+1,1))-AVERAGE(OFFSET($H$3,0,0,'Données projet'!$E$10+1,1))</f>
        <v>#N/A</v>
      </c>
      <c r="AO69" s="59" t="e">
        <f t="shared" ref="AO69:AO132" si="90">$AO$3</f>
        <v>#N/A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 t="e">
        <f>EXP(-LN(2)/35)*AU68+(1-EXP(-LN(2)/35))/(LN(2)/35)*AQ69*AR69*VLOOKUP('Données projet'!$B$10,Paramètres!$A$1:$I$89,3,0)*0.475*44/12</f>
        <v>#N/A</v>
      </c>
      <c r="AV69" s="21" t="e">
        <f>EXP(-LN(2)/25)*AV68+(1-EXP(-LN(2)/25))/(LN(2)/25)*Calculateur!AQ69*Calculateur!AS69*VLOOKUP('Données projet'!$B$10,Paramètres!$A$1:$I$89,3,0)*0.475*44/12</f>
        <v>#N/A</v>
      </c>
      <c r="AW69" s="21" t="e">
        <f>EXP(-LN(2)/2)*AW68+(1-EXP(-LN(2)/2))/(LN(2)/2)*AQ69*AT69*VLOOKUP('Données projet'!$B$10,Paramètres!$A$1:$I$89,3,0)*0.475*44/12</f>
        <v>#N/A</v>
      </c>
      <c r="AX69" s="21" t="e">
        <f t="shared" si="60"/>
        <v>#N/A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1">
        <f t="shared" si="86"/>
        <v>11.088050101306514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7">
        <f t="shared" si="56"/>
        <v>376.3586705931088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4.5474735088646412E-13</v>
      </c>
      <c r="O70" s="13">
        <f>N70*VLOOKUP('Données projet'!$B$9,Paramètres!$A$1:$I$89,3,0)*VLOOKUP('Données projet'!$B$9,Paramètres!$A$1:$I$89,5,0)</f>
        <v>2.7193891583010558E-13</v>
      </c>
      <c r="P70" s="13">
        <f t="shared" si="87"/>
        <v>3.6362267729089988E-12</v>
      </c>
      <c r="Q70" s="20">
        <f t="shared" si="54"/>
        <v>6.8067219078872727E-12</v>
      </c>
      <c r="R70" s="59">
        <f t="shared" si="55"/>
        <v>293.33333333334014</v>
      </c>
      <c r="S70" s="59">
        <f ca="1">AVERAGE(OFFSET($R$3,0,0,'Données projet'!$E$9+1,1))-AVERAGE(OFFSET($H$3,0,0,'Données projet'!$E$9+1,1))</f>
        <v>252.28378247570731</v>
      </c>
      <c r="T70" s="59">
        <f t="shared" si="88"/>
        <v>263.50418595307343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14.108899447259491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1.0886959744373911E-4</v>
      </c>
      <c r="AC70" s="22">
        <f t="shared" si="57"/>
        <v>14.109008316856935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 t="e">
        <f>AI70*VLOOKUP('Données projet'!$B$10,Paramètres!$A$1:$I$89,3,0)*VLOOKUP('Données projet'!$B$10,Paramètres!$A$1:$I$89,5,0)</f>
        <v>#N/A</v>
      </c>
      <c r="AK70" s="13" t="e">
        <f t="shared" si="89"/>
        <v>#N/A</v>
      </c>
      <c r="AL70" s="20" t="e">
        <f t="shared" si="58"/>
        <v>#N/A</v>
      </c>
      <c r="AM70" s="59" t="e">
        <f t="shared" si="59"/>
        <v>#N/A</v>
      </c>
      <c r="AN70" s="59" t="e">
        <f ca="1">AVERAGE(OFFSET($AM$3,0,0,'Données projet'!$E$10+1,1))-AVERAGE(OFFSET($H$3,0,0,'Données projet'!$E$10+1,1))</f>
        <v>#N/A</v>
      </c>
      <c r="AO70" s="59" t="e">
        <f t="shared" si="90"/>
        <v>#N/A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 t="e">
        <f>EXP(-LN(2)/35)*AU69+(1-EXP(-LN(2)/35))/(LN(2)/35)*AQ70*AR70*VLOOKUP('Données projet'!$B$10,Paramètres!$A$1:$I$89,3,0)*0.475*44/12</f>
        <v>#N/A</v>
      </c>
      <c r="AV70" s="21" t="e">
        <f>EXP(-LN(2)/25)*AV69+(1-EXP(-LN(2)/25))/(LN(2)/25)*Calculateur!AQ70*Calculateur!AS70*VLOOKUP('Données projet'!$B$10,Paramètres!$A$1:$I$89,3,0)*0.475*44/12</f>
        <v>#N/A</v>
      </c>
      <c r="AW70" s="21" t="e">
        <f>EXP(-LN(2)/2)*AW69+(1-EXP(-LN(2)/2))/(LN(2)/2)*AQ70*AT70*VLOOKUP('Données projet'!$B$10,Paramètres!$A$1:$I$89,3,0)*0.475*44/12</f>
        <v>#N/A</v>
      </c>
      <c r="AX70" s="21" t="e">
        <f t="shared" si="60"/>
        <v>#N/A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1">
        <f t="shared" si="86"/>
        <v>11.234153644457548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7">
        <f t="shared" si="56"/>
        <v>377.56408426409683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4.5474735088646412E-13</v>
      </c>
      <c r="O71" s="13">
        <f>N71*VLOOKUP('Données projet'!$B$9,Paramètres!$A$1:$I$89,3,0)*VLOOKUP('Données projet'!$B$9,Paramètres!$A$1:$I$89,5,0)</f>
        <v>2.7193891583010558E-13</v>
      </c>
      <c r="P71" s="13">
        <f t="shared" si="87"/>
        <v>3.6362267729089988E-12</v>
      </c>
      <c r="Q71" s="20">
        <f t="shared" si="54"/>
        <v>6.8067219078872727E-12</v>
      </c>
      <c r="R71" s="59">
        <f t="shared" si="55"/>
        <v>293.33333333334014</v>
      </c>
      <c r="S71" s="59">
        <f ca="1">AVERAGE(OFFSET($R$3,0,0,'Données projet'!$E$9+1,1))-AVERAGE(OFFSET($H$3,0,0,'Données projet'!$E$9+1,1))</f>
        <v>252.28378247570731</v>
      </c>
      <c r="T71" s="59">
        <f t="shared" si="88"/>
        <v>263.50418595307343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13.832232534677665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7.6982430617517544E-5</v>
      </c>
      <c r="AC71" s="22">
        <f t="shared" si="57"/>
        <v>13.832309517108282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 t="e">
        <f>AI71*VLOOKUP('Données projet'!$B$10,Paramètres!$A$1:$I$89,3,0)*VLOOKUP('Données projet'!$B$10,Paramètres!$A$1:$I$89,5,0)</f>
        <v>#N/A</v>
      </c>
      <c r="AK71" s="13" t="e">
        <f t="shared" si="89"/>
        <v>#N/A</v>
      </c>
      <c r="AL71" s="20" t="e">
        <f t="shared" si="58"/>
        <v>#N/A</v>
      </c>
      <c r="AM71" s="59" t="e">
        <f t="shared" si="59"/>
        <v>#N/A</v>
      </c>
      <c r="AN71" s="59" t="e">
        <f ca="1">AVERAGE(OFFSET($AM$3,0,0,'Données projet'!$E$10+1,1))-AVERAGE(OFFSET($H$3,0,0,'Données projet'!$E$10+1,1))</f>
        <v>#N/A</v>
      </c>
      <c r="AO71" s="59" t="e">
        <f t="shared" si="90"/>
        <v>#N/A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 t="e">
        <f>EXP(-LN(2)/35)*AU70+(1-EXP(-LN(2)/35))/(LN(2)/35)*AQ71*AR71*VLOOKUP('Données projet'!$B$10,Paramètres!$A$1:$I$89,3,0)*0.475*44/12</f>
        <v>#N/A</v>
      </c>
      <c r="AV71" s="21" t="e">
        <f>EXP(-LN(2)/25)*AV70+(1-EXP(-LN(2)/25))/(LN(2)/25)*Calculateur!AQ71*Calculateur!AS71*VLOOKUP('Données projet'!$B$10,Paramètres!$A$1:$I$89,3,0)*0.475*44/12</f>
        <v>#N/A</v>
      </c>
      <c r="AW71" s="21" t="e">
        <f>EXP(-LN(2)/2)*AW70+(1-EXP(-LN(2)/2))/(LN(2)/2)*AQ71*AT71*VLOOKUP('Données projet'!$B$10,Paramètres!$A$1:$I$89,3,0)*0.475*44/12</f>
        <v>#N/A</v>
      </c>
      <c r="AX71" s="21" t="e">
        <f t="shared" si="60"/>
        <v>#N/A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1">
        <f t="shared" si="86"/>
        <v>11.380007297126165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7">
        <f t="shared" si="56"/>
        <v>378.76906270916135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4.5474735088646412E-13</v>
      </c>
      <c r="O72" s="13">
        <f>N72*VLOOKUP('Données projet'!$B$9,Paramètres!$A$1:$I$89,3,0)*VLOOKUP('Données projet'!$B$9,Paramètres!$A$1:$I$89,5,0)</f>
        <v>2.7193891583010558E-13</v>
      </c>
      <c r="P72" s="13">
        <f t="shared" si="87"/>
        <v>3.6362267729089988E-12</v>
      </c>
      <c r="Q72" s="20">
        <f t="shared" si="54"/>
        <v>6.8067219078872727E-12</v>
      </c>
      <c r="R72" s="59">
        <f t="shared" si="55"/>
        <v>293.33333333334014</v>
      </c>
      <c r="S72" s="59">
        <f ca="1">AVERAGE(OFFSET($R$3,0,0,'Données projet'!$E$9+1,1))-AVERAGE(OFFSET($H$3,0,0,'Données projet'!$E$9+1,1))</f>
        <v>252.28378247570731</v>
      </c>
      <c r="T72" s="59">
        <f t="shared" si="88"/>
        <v>263.50418595307343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13.560990891501415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5.4434798721869556E-5</v>
      </c>
      <c r="AC72" s="22">
        <f t="shared" si="57"/>
        <v>13.561045326300137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 t="e">
        <f>AI72*VLOOKUP('Données projet'!$B$10,Paramètres!$A$1:$I$89,3,0)*VLOOKUP('Données projet'!$B$10,Paramètres!$A$1:$I$89,5,0)</f>
        <v>#N/A</v>
      </c>
      <c r="AK72" s="13" t="e">
        <f t="shared" si="89"/>
        <v>#N/A</v>
      </c>
      <c r="AL72" s="20" t="e">
        <f t="shared" si="58"/>
        <v>#N/A</v>
      </c>
      <c r="AM72" s="59" t="e">
        <f t="shared" si="59"/>
        <v>#N/A</v>
      </c>
      <c r="AN72" s="59" t="e">
        <f ca="1">AVERAGE(OFFSET($AM$3,0,0,'Données projet'!$E$10+1,1))-AVERAGE(OFFSET($H$3,0,0,'Données projet'!$E$10+1,1))</f>
        <v>#N/A</v>
      </c>
      <c r="AO72" s="59" t="e">
        <f t="shared" si="90"/>
        <v>#N/A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 t="e">
        <f>EXP(-LN(2)/35)*AU71+(1-EXP(-LN(2)/35))/(LN(2)/35)*AQ72*AR72*VLOOKUP('Données projet'!$B$10,Paramètres!$A$1:$I$89,3,0)*0.475*44/12</f>
        <v>#N/A</v>
      </c>
      <c r="AV72" s="21" t="e">
        <f>EXP(-LN(2)/25)*AV71+(1-EXP(-LN(2)/25))/(LN(2)/25)*Calculateur!AQ72*Calculateur!AS72*VLOOKUP('Données projet'!$B$10,Paramètres!$A$1:$I$89,3,0)*0.475*44/12</f>
        <v>#N/A</v>
      </c>
      <c r="AW72" s="21" t="e">
        <f>EXP(-LN(2)/2)*AW71+(1-EXP(-LN(2)/2))/(LN(2)/2)*AQ72*AT72*VLOOKUP('Données projet'!$B$10,Paramètres!$A$1:$I$89,3,0)*0.475*44/12</f>
        <v>#N/A</v>
      </c>
      <c r="AX72" s="21" t="e">
        <f t="shared" si="60"/>
        <v>#N/A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1">
        <f t="shared" si="86"/>
        <v>11.525615099344252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7">
        <f t="shared" si="56"/>
        <v>379.97361296469114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4.5474735088646412E-13</v>
      </c>
      <c r="O73" s="13">
        <f>N73*VLOOKUP('Données projet'!$B$9,Paramètres!$A$1:$I$89,3,0)*VLOOKUP('Données projet'!$B$9,Paramètres!$A$1:$I$89,5,0)</f>
        <v>2.7193891583010558E-13</v>
      </c>
      <c r="P73" s="13">
        <f t="shared" si="87"/>
        <v>3.6362267729089988E-12</v>
      </c>
      <c r="Q73" s="20">
        <f t="shared" si="54"/>
        <v>6.8067219078872727E-12</v>
      </c>
      <c r="R73" s="59">
        <f t="shared" si="55"/>
        <v>293.33333333334014</v>
      </c>
      <c r="S73" s="59">
        <f ca="1">AVERAGE(OFFSET($R$3,0,0,'Données projet'!$E$9+1,1))-AVERAGE(OFFSET($H$3,0,0,'Données projet'!$E$9+1,1))</f>
        <v>252.28378247570731</v>
      </c>
      <c r="T73" s="59">
        <f t="shared" si="88"/>
        <v>263.50418595307343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13.295068131506785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3.8491215308758772E-5</v>
      </c>
      <c r="AC73" s="22">
        <f t="shared" si="57"/>
        <v>13.295106622722093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 t="e">
        <f>AI73*VLOOKUP('Données projet'!$B$10,Paramètres!$A$1:$I$89,3,0)*VLOOKUP('Données projet'!$B$10,Paramètres!$A$1:$I$89,5,0)</f>
        <v>#N/A</v>
      </c>
      <c r="AK73" s="13" t="e">
        <f t="shared" si="89"/>
        <v>#N/A</v>
      </c>
      <c r="AL73" s="20" t="e">
        <f t="shared" si="58"/>
        <v>#N/A</v>
      </c>
      <c r="AM73" s="59" t="e">
        <f t="shared" si="59"/>
        <v>#N/A</v>
      </c>
      <c r="AN73" s="59" t="e">
        <f ca="1">AVERAGE(OFFSET($AM$3,0,0,'Données projet'!$E$10+1,1))-AVERAGE(OFFSET($H$3,0,0,'Données projet'!$E$10+1,1))</f>
        <v>#N/A</v>
      </c>
      <c r="AO73" s="59" t="e">
        <f t="shared" si="90"/>
        <v>#N/A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 t="e">
        <f>EXP(-LN(2)/35)*AU72+(1-EXP(-LN(2)/35))/(LN(2)/35)*AQ73*AR73*VLOOKUP('Données projet'!$B$10,Paramètres!$A$1:$I$89,3,0)*0.475*44/12</f>
        <v>#N/A</v>
      </c>
      <c r="AV73" s="21" t="e">
        <f>EXP(-LN(2)/25)*AV72+(1-EXP(-LN(2)/25))/(LN(2)/25)*Calculateur!AQ73*Calculateur!AS73*VLOOKUP('Données projet'!$B$10,Paramètres!$A$1:$I$89,3,0)*0.475*44/12</f>
        <v>#N/A</v>
      </c>
      <c r="AW73" s="21" t="e">
        <f>EXP(-LN(2)/2)*AW72+(1-EXP(-LN(2)/2))/(LN(2)/2)*AQ73*AT73*VLOOKUP('Données projet'!$B$10,Paramètres!$A$1:$I$89,3,0)*0.475*44/12</f>
        <v>#N/A</v>
      </c>
      <c r="AX73" s="21" t="e">
        <f t="shared" si="60"/>
        <v>#N/A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1">
        <f t="shared" si="86"/>
        <v>11.670980969085333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7">
        <f t="shared" si="56"/>
        <v>381.17774185449025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4.5474735088646412E-13</v>
      </c>
      <c r="O74" s="13">
        <f>N74*VLOOKUP('Données projet'!$B$9,Paramètres!$A$1:$I$89,3,0)*VLOOKUP('Données projet'!$B$9,Paramètres!$A$1:$I$89,5,0)</f>
        <v>2.7193891583010558E-13</v>
      </c>
      <c r="P74" s="13">
        <f t="shared" si="87"/>
        <v>3.6362267729089988E-12</v>
      </c>
      <c r="Q74" s="20">
        <f t="shared" si="54"/>
        <v>6.8067219078872727E-12</v>
      </c>
      <c r="R74" s="59">
        <f t="shared" si="55"/>
        <v>293.33333333334014</v>
      </c>
      <c r="S74" s="59">
        <f ca="1">AVERAGE(OFFSET($R$3,0,0,'Données projet'!$E$9+1,1))-AVERAGE(OFFSET($H$3,0,0,'Données projet'!$E$9+1,1))</f>
        <v>252.28378247570731</v>
      </c>
      <c r="T74" s="59">
        <f t="shared" si="88"/>
        <v>263.50418595307343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13.034359954638781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2.7217399360934778E-5</v>
      </c>
      <c r="AC74" s="22">
        <f t="shared" si="57"/>
        <v>13.034387172038141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 t="e">
        <f>AI74*VLOOKUP('Données projet'!$B$10,Paramètres!$A$1:$I$89,3,0)*VLOOKUP('Données projet'!$B$10,Paramètres!$A$1:$I$89,5,0)</f>
        <v>#N/A</v>
      </c>
      <c r="AK74" s="13" t="e">
        <f t="shared" si="89"/>
        <v>#N/A</v>
      </c>
      <c r="AL74" s="20" t="e">
        <f t="shared" si="58"/>
        <v>#N/A</v>
      </c>
      <c r="AM74" s="59" t="e">
        <f t="shared" si="59"/>
        <v>#N/A</v>
      </c>
      <c r="AN74" s="59" t="e">
        <f ca="1">AVERAGE(OFFSET($AM$3,0,0,'Données projet'!$E$10+1,1))-AVERAGE(OFFSET($H$3,0,0,'Données projet'!$E$10+1,1))</f>
        <v>#N/A</v>
      </c>
      <c r="AO74" s="59" t="e">
        <f t="shared" si="90"/>
        <v>#N/A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 t="e">
        <f>EXP(-LN(2)/35)*AU73+(1-EXP(-LN(2)/35))/(LN(2)/35)*AQ74*AR74*VLOOKUP('Données projet'!$B$10,Paramètres!$A$1:$I$89,3,0)*0.475*44/12</f>
        <v>#N/A</v>
      </c>
      <c r="AV74" s="21" t="e">
        <f>EXP(-LN(2)/25)*AV73+(1-EXP(-LN(2)/25))/(LN(2)/25)*Calculateur!AQ74*Calculateur!AS74*VLOOKUP('Données projet'!$B$10,Paramètres!$A$1:$I$89,3,0)*0.475*44/12</f>
        <v>#N/A</v>
      </c>
      <c r="AW74" s="21" t="e">
        <f>EXP(-LN(2)/2)*AW73+(1-EXP(-LN(2)/2))/(LN(2)/2)*AQ74*AT74*VLOOKUP('Données projet'!$B$10,Paramètres!$A$1:$I$89,3,0)*0.475*44/12</f>
        <v>#N/A</v>
      </c>
      <c r="AX74" s="21" t="e">
        <f t="shared" si="60"/>
        <v>#N/A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1">
        <f t="shared" si="86"/>
        <v>11.816108707618389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7">
        <f t="shared" si="56"/>
        <v>382.38145599910195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4.5474735088646412E-13</v>
      </c>
      <c r="O75" s="13">
        <f>N75*VLOOKUP('Données projet'!$B$9,Paramètres!$A$1:$I$89,3,0)*VLOOKUP('Données projet'!$B$9,Paramètres!$A$1:$I$89,5,0)</f>
        <v>2.7193891583010558E-13</v>
      </c>
      <c r="P75" s="13">
        <f t="shared" si="87"/>
        <v>3.6362267729089988E-12</v>
      </c>
      <c r="Q75" s="20">
        <f t="shared" si="54"/>
        <v>6.8067219078872727E-12</v>
      </c>
      <c r="R75" s="59">
        <f t="shared" si="55"/>
        <v>293.33333333334014</v>
      </c>
      <c r="S75" s="59">
        <f ca="1">AVERAGE(OFFSET($R$3,0,0,'Données projet'!$E$9+1,1))-AVERAGE(OFFSET($H$3,0,0,'Données projet'!$E$9+1,1))</f>
        <v>252.28378247570731</v>
      </c>
      <c r="T75" s="59">
        <f t="shared" si="88"/>
        <v>263.50418595307343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12.778764106102871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1.9245607654379386E-5</v>
      </c>
      <c r="AC75" s="22">
        <f t="shared" si="57"/>
        <v>12.778783351710526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 t="e">
        <f>AI75*VLOOKUP('Données projet'!$B$10,Paramètres!$A$1:$I$89,3,0)*VLOOKUP('Données projet'!$B$10,Paramètres!$A$1:$I$89,5,0)</f>
        <v>#N/A</v>
      </c>
      <c r="AK75" s="13" t="e">
        <f t="shared" si="89"/>
        <v>#N/A</v>
      </c>
      <c r="AL75" s="20" t="e">
        <f t="shared" si="58"/>
        <v>#N/A</v>
      </c>
      <c r="AM75" s="59" t="e">
        <f t="shared" si="59"/>
        <v>#N/A</v>
      </c>
      <c r="AN75" s="59" t="e">
        <f ca="1">AVERAGE(OFFSET($AM$3,0,0,'Données projet'!$E$10+1,1))-AVERAGE(OFFSET($H$3,0,0,'Données projet'!$E$10+1,1))</f>
        <v>#N/A</v>
      </c>
      <c r="AO75" s="59" t="e">
        <f t="shared" si="90"/>
        <v>#N/A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 t="e">
        <f>EXP(-LN(2)/35)*AU74+(1-EXP(-LN(2)/35))/(LN(2)/35)*AQ75*AR75*VLOOKUP('Données projet'!$B$10,Paramètres!$A$1:$I$89,3,0)*0.475*44/12</f>
        <v>#N/A</v>
      </c>
      <c r="AV75" s="21" t="e">
        <f>EXP(-LN(2)/25)*AV74+(1-EXP(-LN(2)/25))/(LN(2)/25)*Calculateur!AQ75*Calculateur!AS75*VLOOKUP('Données projet'!$B$10,Paramètres!$A$1:$I$89,3,0)*0.475*44/12</f>
        <v>#N/A</v>
      </c>
      <c r="AW75" s="21" t="e">
        <f>EXP(-LN(2)/2)*AW74+(1-EXP(-LN(2)/2))/(LN(2)/2)*AQ75*AT75*VLOOKUP('Données projet'!$B$10,Paramètres!$A$1:$I$89,3,0)*0.475*44/12</f>
        <v>#N/A</v>
      </c>
      <c r="AX75" s="21" t="e">
        <f t="shared" si="60"/>
        <v>#N/A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1">
        <f t="shared" si="86"/>
        <v>11.961002004555786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7">
        <f t="shared" si="56"/>
        <v>383.58476182460123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4.5474735088646412E-13</v>
      </c>
      <c r="O76" s="13">
        <f>N76*VLOOKUP('Données projet'!$B$9,Paramètres!$A$1:$I$89,3,0)*VLOOKUP('Données projet'!$B$9,Paramètres!$A$1:$I$89,5,0)</f>
        <v>2.7193891583010558E-13</v>
      </c>
      <c r="P76" s="13">
        <f t="shared" si="87"/>
        <v>3.6362267729089988E-12</v>
      </c>
      <c r="Q76" s="20">
        <f t="shared" si="54"/>
        <v>6.8067219078872727E-12</v>
      </c>
      <c r="R76" s="59">
        <f t="shared" si="55"/>
        <v>293.33333333334014</v>
      </c>
      <c r="S76" s="59">
        <f ca="1">AVERAGE(OFFSET($R$3,0,0,'Données projet'!$E$9+1,1))-AVERAGE(OFFSET($H$3,0,0,'Données projet'!$E$9+1,1))</f>
        <v>252.28378247570731</v>
      </c>
      <c r="T76" s="59">
        <f t="shared" si="88"/>
        <v>263.50418595307343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12.528180336258679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1.3608699680467389E-5</v>
      </c>
      <c r="AC76" s="22">
        <f t="shared" si="57"/>
        <v>12.528193944958359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 t="e">
        <f>AI76*VLOOKUP('Données projet'!$B$10,Paramètres!$A$1:$I$89,3,0)*VLOOKUP('Données projet'!$B$10,Paramètres!$A$1:$I$89,5,0)</f>
        <v>#N/A</v>
      </c>
      <c r="AK76" s="13" t="e">
        <f t="shared" si="89"/>
        <v>#N/A</v>
      </c>
      <c r="AL76" s="20" t="e">
        <f t="shared" si="58"/>
        <v>#N/A</v>
      </c>
      <c r="AM76" s="59" t="e">
        <f t="shared" si="59"/>
        <v>#N/A</v>
      </c>
      <c r="AN76" s="59" t="e">
        <f ca="1">AVERAGE(OFFSET($AM$3,0,0,'Données projet'!$E$10+1,1))-AVERAGE(OFFSET($H$3,0,0,'Données projet'!$E$10+1,1))</f>
        <v>#N/A</v>
      </c>
      <c r="AO76" s="59" t="e">
        <f t="shared" si="90"/>
        <v>#N/A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 t="e">
        <f>EXP(-LN(2)/35)*AU75+(1-EXP(-LN(2)/35))/(LN(2)/35)*AQ76*AR76*VLOOKUP('Données projet'!$B$10,Paramètres!$A$1:$I$89,3,0)*0.475*44/12</f>
        <v>#N/A</v>
      </c>
      <c r="AV76" s="21" t="e">
        <f>EXP(-LN(2)/25)*AV75+(1-EXP(-LN(2)/25))/(LN(2)/25)*Calculateur!AQ76*Calculateur!AS76*VLOOKUP('Données projet'!$B$10,Paramètres!$A$1:$I$89,3,0)*0.475*44/12</f>
        <v>#N/A</v>
      </c>
      <c r="AW76" s="21" t="e">
        <f>EXP(-LN(2)/2)*AW75+(1-EXP(-LN(2)/2))/(LN(2)/2)*AQ76*AT76*VLOOKUP('Données projet'!$B$10,Paramètres!$A$1:$I$89,3,0)*0.475*44/12</f>
        <v>#N/A</v>
      </c>
      <c r="AX76" s="21" t="e">
        <f t="shared" si="60"/>
        <v>#N/A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1">
        <f t="shared" si="86"/>
        <v>12.105664442616701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7">
        <f t="shared" si="56"/>
        <v>384.78766557089068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4.5474735088646412E-13</v>
      </c>
      <c r="O77" s="13">
        <f>N77*VLOOKUP('Données projet'!$B$9,Paramètres!$A$1:$I$89,3,0)*VLOOKUP('Données projet'!$B$9,Paramètres!$A$1:$I$89,5,0)</f>
        <v>2.7193891583010558E-13</v>
      </c>
      <c r="P77" s="13">
        <f t="shared" si="87"/>
        <v>3.6362267729089988E-12</v>
      </c>
      <c r="Q77" s="20">
        <f t="shared" si="54"/>
        <v>6.8067219078872727E-12</v>
      </c>
      <c r="R77" s="59">
        <f t="shared" si="55"/>
        <v>293.33333333334014</v>
      </c>
      <c r="S77" s="59">
        <f ca="1">AVERAGE(OFFSET($R$3,0,0,'Données projet'!$E$9+1,1))-AVERAGE(OFFSET($H$3,0,0,'Données projet'!$E$9+1,1))</f>
        <v>252.28378247570731</v>
      </c>
      <c r="T77" s="59">
        <f t="shared" si="88"/>
        <v>263.50418595307343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12.282510361300123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9.622803827189693E-6</v>
      </c>
      <c r="AC77" s="22">
        <f t="shared" si="57"/>
        <v>12.282519984103949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 t="e">
        <f>AI77*VLOOKUP('Données projet'!$B$10,Paramètres!$A$1:$I$89,3,0)*VLOOKUP('Données projet'!$B$10,Paramètres!$A$1:$I$89,5,0)</f>
        <v>#N/A</v>
      </c>
      <c r="AK77" s="13" t="e">
        <f t="shared" si="89"/>
        <v>#N/A</v>
      </c>
      <c r="AL77" s="20" t="e">
        <f t="shared" si="58"/>
        <v>#N/A</v>
      </c>
      <c r="AM77" s="59" t="e">
        <f t="shared" si="59"/>
        <v>#N/A</v>
      </c>
      <c r="AN77" s="59" t="e">
        <f ca="1">AVERAGE(OFFSET($AM$3,0,0,'Données projet'!$E$10+1,1))-AVERAGE(OFFSET($H$3,0,0,'Données projet'!$E$10+1,1))</f>
        <v>#N/A</v>
      </c>
      <c r="AO77" s="59" t="e">
        <f t="shared" si="90"/>
        <v>#N/A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 t="e">
        <f>EXP(-LN(2)/35)*AU76+(1-EXP(-LN(2)/35))/(LN(2)/35)*AQ77*AR77*VLOOKUP('Données projet'!$B$10,Paramètres!$A$1:$I$89,3,0)*0.475*44/12</f>
        <v>#N/A</v>
      </c>
      <c r="AV77" s="21" t="e">
        <f>EXP(-LN(2)/25)*AV76+(1-EXP(-LN(2)/25))/(LN(2)/25)*Calculateur!AQ77*Calculateur!AS77*VLOOKUP('Données projet'!$B$10,Paramètres!$A$1:$I$89,3,0)*0.475*44/12</f>
        <v>#N/A</v>
      </c>
      <c r="AW77" s="21" t="e">
        <f>EXP(-LN(2)/2)*AW76+(1-EXP(-LN(2)/2))/(LN(2)/2)*AQ77*AT77*VLOOKUP('Données projet'!$B$10,Paramètres!$A$1:$I$89,3,0)*0.475*44/12</f>
        <v>#N/A</v>
      </c>
      <c r="AX77" s="21" t="e">
        <f t="shared" si="60"/>
        <v>#N/A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1">
        <f t="shared" si="86"/>
        <v>12.250099502125838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7">
        <f t="shared" si="56"/>
        <v>385.99017329953574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4.5474735088646412E-13</v>
      </c>
      <c r="O78" s="13">
        <f>N78*VLOOKUP('Données projet'!$B$9,Paramètres!$A$1:$I$89,3,0)*VLOOKUP('Données projet'!$B$9,Paramètres!$A$1:$I$89,5,0)</f>
        <v>2.7193891583010558E-13</v>
      </c>
      <c r="P78" s="13">
        <f t="shared" si="87"/>
        <v>3.6362267729089988E-12</v>
      </c>
      <c r="Q78" s="20">
        <f t="shared" si="54"/>
        <v>6.8067219078872727E-12</v>
      </c>
      <c r="R78" s="59">
        <f t="shared" si="55"/>
        <v>293.33333333334014</v>
      </c>
      <c r="S78" s="59">
        <f ca="1">AVERAGE(OFFSET($R$3,0,0,'Données projet'!$E$9+1,1))-AVERAGE(OFFSET($H$3,0,0,'Données projet'!$E$9+1,1))</f>
        <v>252.28378247570731</v>
      </c>
      <c r="T78" s="59">
        <f t="shared" si="88"/>
        <v>263.50418595307343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12.041657824706615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6.8043498402336945E-6</v>
      </c>
      <c r="AC78" s="22">
        <f t="shared" si="57"/>
        <v>12.041664629056456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 t="e">
        <f>AI78*VLOOKUP('Données projet'!$B$10,Paramètres!$A$1:$I$89,3,0)*VLOOKUP('Données projet'!$B$10,Paramètres!$A$1:$I$89,5,0)</f>
        <v>#N/A</v>
      </c>
      <c r="AK78" s="13" t="e">
        <f t="shared" si="89"/>
        <v>#N/A</v>
      </c>
      <c r="AL78" s="20" t="e">
        <f t="shared" si="58"/>
        <v>#N/A</v>
      </c>
      <c r="AM78" s="59" t="e">
        <f t="shared" si="59"/>
        <v>#N/A</v>
      </c>
      <c r="AN78" s="59" t="e">
        <f ca="1">AVERAGE(OFFSET($AM$3,0,0,'Données projet'!$E$10+1,1))-AVERAGE(OFFSET($H$3,0,0,'Données projet'!$E$10+1,1))</f>
        <v>#N/A</v>
      </c>
      <c r="AO78" s="59" t="e">
        <f t="shared" si="90"/>
        <v>#N/A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 t="e">
        <f>EXP(-LN(2)/35)*AU77+(1-EXP(-LN(2)/35))/(LN(2)/35)*AQ78*AR78*VLOOKUP('Données projet'!$B$10,Paramètres!$A$1:$I$89,3,0)*0.475*44/12</f>
        <v>#N/A</v>
      </c>
      <c r="AV78" s="21" t="e">
        <f>EXP(-LN(2)/25)*AV77+(1-EXP(-LN(2)/25))/(LN(2)/25)*Calculateur!AQ78*Calculateur!AS78*VLOOKUP('Données projet'!$B$10,Paramètres!$A$1:$I$89,3,0)*0.475*44/12</f>
        <v>#N/A</v>
      </c>
      <c r="AW78" s="21" t="e">
        <f>EXP(-LN(2)/2)*AW77+(1-EXP(-LN(2)/2))/(LN(2)/2)*AQ78*AT78*VLOOKUP('Données projet'!$B$10,Paramètres!$A$1:$I$89,3,0)*0.475*44/12</f>
        <v>#N/A</v>
      </c>
      <c r="AX78" s="21" t="e">
        <f t="shared" si="60"/>
        <v>#N/A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1">
        <f t="shared" si="86"/>
        <v>12.394310565265254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7">
        <f t="shared" si="56"/>
        <v>387.19229090117022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4.5474735088646412E-13</v>
      </c>
      <c r="O79" s="13">
        <f>N79*VLOOKUP('Données projet'!$B$9,Paramètres!$A$1:$I$89,3,0)*VLOOKUP('Données projet'!$B$9,Paramètres!$A$1:$I$89,5,0)</f>
        <v>2.7193891583010558E-13</v>
      </c>
      <c r="P79" s="13">
        <f t="shared" si="87"/>
        <v>3.6362267729089988E-12</v>
      </c>
      <c r="Q79" s="20">
        <f t="shared" si="54"/>
        <v>6.8067219078872727E-12</v>
      </c>
      <c r="R79" s="59">
        <f t="shared" si="55"/>
        <v>293.33333333334014</v>
      </c>
      <c r="S79" s="59">
        <f ca="1">AVERAGE(OFFSET($R$3,0,0,'Données projet'!$E$9+1,1))-AVERAGE(OFFSET($H$3,0,0,'Données projet'!$E$9+1,1))</f>
        <v>252.28378247570731</v>
      </c>
      <c r="T79" s="59">
        <f t="shared" si="88"/>
        <v>263.50418595307343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11.805528259450163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4.8114019135948465E-6</v>
      </c>
      <c r="AC79" s="22">
        <f t="shared" si="57"/>
        <v>11.805533070852077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 t="e">
        <f>AI79*VLOOKUP('Données projet'!$B$10,Paramètres!$A$1:$I$89,3,0)*VLOOKUP('Données projet'!$B$10,Paramètres!$A$1:$I$89,5,0)</f>
        <v>#N/A</v>
      </c>
      <c r="AK79" s="13" t="e">
        <f t="shared" si="89"/>
        <v>#N/A</v>
      </c>
      <c r="AL79" s="20" t="e">
        <f t="shared" si="58"/>
        <v>#N/A</v>
      </c>
      <c r="AM79" s="59" t="e">
        <f t="shared" si="59"/>
        <v>#N/A</v>
      </c>
      <c r="AN79" s="59" t="e">
        <f ca="1">AVERAGE(OFFSET($AM$3,0,0,'Données projet'!$E$10+1,1))-AVERAGE(OFFSET($H$3,0,0,'Données projet'!$E$10+1,1))</f>
        <v>#N/A</v>
      </c>
      <c r="AO79" s="59" t="e">
        <f t="shared" si="90"/>
        <v>#N/A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 t="e">
        <f>EXP(-LN(2)/35)*AU78+(1-EXP(-LN(2)/35))/(LN(2)/35)*AQ79*AR79*VLOOKUP('Données projet'!$B$10,Paramètres!$A$1:$I$89,3,0)*0.475*44/12</f>
        <v>#N/A</v>
      </c>
      <c r="AV79" s="21" t="e">
        <f>EXP(-LN(2)/25)*AV78+(1-EXP(-LN(2)/25))/(LN(2)/25)*Calculateur!AQ79*Calculateur!AS79*VLOOKUP('Données projet'!$B$10,Paramètres!$A$1:$I$89,3,0)*0.475*44/12</f>
        <v>#N/A</v>
      </c>
      <c r="AW79" s="21" t="e">
        <f>EXP(-LN(2)/2)*AW78+(1-EXP(-LN(2)/2))/(LN(2)/2)*AQ79*AT79*VLOOKUP('Données projet'!$B$10,Paramètres!$A$1:$I$89,3,0)*0.475*44/12</f>
        <v>#N/A</v>
      </c>
      <c r="AX79" s="21" t="e">
        <f t="shared" si="60"/>
        <v>#N/A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1">
        <f t="shared" si="86"/>
        <v>12.538300920096166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7">
        <f t="shared" si="56"/>
        <v>388.39402410250074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4.5474735088646412E-13</v>
      </c>
      <c r="O80" s="13">
        <f>N80*VLOOKUP('Données projet'!$B$9,Paramètres!$A$1:$I$89,3,0)*VLOOKUP('Données projet'!$B$9,Paramètres!$A$1:$I$89,5,0)</f>
        <v>2.7193891583010558E-13</v>
      </c>
      <c r="P80" s="13">
        <f t="shared" si="87"/>
        <v>3.6362267729089988E-12</v>
      </c>
      <c r="Q80" s="20">
        <f t="shared" si="54"/>
        <v>6.8067219078872727E-12</v>
      </c>
      <c r="R80" s="59">
        <f t="shared" si="55"/>
        <v>293.33333333334014</v>
      </c>
      <c r="S80" s="59">
        <f ca="1">AVERAGE(OFFSET($R$3,0,0,'Données projet'!$E$9+1,1))-AVERAGE(OFFSET($H$3,0,0,'Données projet'!$E$9+1,1))</f>
        <v>252.28378247570731</v>
      </c>
      <c r="T80" s="59">
        <f t="shared" si="88"/>
        <v>263.50418595307343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11.574029050943578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3.4021749201168472E-6</v>
      </c>
      <c r="AC80" s="22">
        <f t="shared" si="57"/>
        <v>11.574032453118498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 t="e">
        <f>AI80*VLOOKUP('Données projet'!$B$10,Paramètres!$A$1:$I$89,3,0)*VLOOKUP('Données projet'!$B$10,Paramètres!$A$1:$I$89,5,0)</f>
        <v>#N/A</v>
      </c>
      <c r="AK80" s="13" t="e">
        <f t="shared" si="89"/>
        <v>#N/A</v>
      </c>
      <c r="AL80" s="20" t="e">
        <f t="shared" si="58"/>
        <v>#N/A</v>
      </c>
      <c r="AM80" s="59" t="e">
        <f t="shared" si="59"/>
        <v>#N/A</v>
      </c>
      <c r="AN80" s="59" t="e">
        <f ca="1">AVERAGE(OFFSET($AM$3,0,0,'Données projet'!$E$10+1,1))-AVERAGE(OFFSET($H$3,0,0,'Données projet'!$E$10+1,1))</f>
        <v>#N/A</v>
      </c>
      <c r="AO80" s="59" t="e">
        <f t="shared" si="90"/>
        <v>#N/A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 t="e">
        <f>EXP(-LN(2)/35)*AU79+(1-EXP(-LN(2)/35))/(LN(2)/35)*AQ80*AR80*VLOOKUP('Données projet'!$B$10,Paramètres!$A$1:$I$89,3,0)*0.475*44/12</f>
        <v>#N/A</v>
      </c>
      <c r="AV80" s="21" t="e">
        <f>EXP(-LN(2)/25)*AV79+(1-EXP(-LN(2)/25))/(LN(2)/25)*Calculateur!AQ80*Calculateur!AS80*VLOOKUP('Données projet'!$B$10,Paramètres!$A$1:$I$89,3,0)*0.475*44/12</f>
        <v>#N/A</v>
      </c>
      <c r="AW80" s="21" t="e">
        <f>EXP(-LN(2)/2)*AW79+(1-EXP(-LN(2)/2))/(LN(2)/2)*AQ80*AT80*VLOOKUP('Données projet'!$B$10,Paramètres!$A$1:$I$89,3,0)*0.475*44/12</f>
        <v>#N/A</v>
      </c>
      <c r="AX80" s="21" t="e">
        <f t="shared" si="60"/>
        <v>#N/A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1">
        <f t="shared" si="86"/>
        <v>12.682073764365757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7">
        <f t="shared" si="56"/>
        <v>389.59537847293694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4.5474735088646412E-13</v>
      </c>
      <c r="O81" s="13">
        <f>N81*VLOOKUP('Données projet'!$B$9,Paramètres!$A$1:$I$89,3,0)*VLOOKUP('Données projet'!$B$9,Paramètres!$A$1:$I$89,5,0)</f>
        <v>2.7193891583010558E-13</v>
      </c>
      <c r="P81" s="13">
        <f t="shared" si="87"/>
        <v>3.6362267729089988E-12</v>
      </c>
      <c r="Q81" s="20">
        <f t="shared" si="54"/>
        <v>6.8067219078872727E-12</v>
      </c>
      <c r="R81" s="59">
        <f t="shared" si="55"/>
        <v>293.33333333334014</v>
      </c>
      <c r="S81" s="59">
        <f ca="1">AVERAGE(OFFSET($R$3,0,0,'Données projet'!$E$9+1,1))-AVERAGE(OFFSET($H$3,0,0,'Données projet'!$E$9+1,1))</f>
        <v>252.28378247570731</v>
      </c>
      <c r="T81" s="59">
        <f t="shared" si="88"/>
        <v>263.50418595307343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11.347069400715231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2.4057009567974233E-6</v>
      </c>
      <c r="AC81" s="22">
        <f t="shared" si="57"/>
        <v>11.347071806416189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 t="e">
        <f>AI81*VLOOKUP('Données projet'!$B$10,Paramètres!$A$1:$I$89,3,0)*VLOOKUP('Données projet'!$B$10,Paramètres!$A$1:$I$89,5,0)</f>
        <v>#N/A</v>
      </c>
      <c r="AK81" s="13" t="e">
        <f t="shared" si="89"/>
        <v>#N/A</v>
      </c>
      <c r="AL81" s="20" t="e">
        <f t="shared" si="58"/>
        <v>#N/A</v>
      </c>
      <c r="AM81" s="59" t="e">
        <f t="shared" si="59"/>
        <v>#N/A</v>
      </c>
      <c r="AN81" s="59" t="e">
        <f ca="1">AVERAGE(OFFSET($AM$3,0,0,'Données projet'!$E$10+1,1))-AVERAGE(OFFSET($H$3,0,0,'Données projet'!$E$10+1,1))</f>
        <v>#N/A</v>
      </c>
      <c r="AO81" s="59" t="e">
        <f t="shared" si="90"/>
        <v>#N/A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 t="e">
        <f>EXP(-LN(2)/35)*AU80+(1-EXP(-LN(2)/35))/(LN(2)/35)*AQ81*AR81*VLOOKUP('Données projet'!$B$10,Paramètres!$A$1:$I$89,3,0)*0.475*44/12</f>
        <v>#N/A</v>
      </c>
      <c r="AV81" s="21" t="e">
        <f>EXP(-LN(2)/25)*AV80+(1-EXP(-LN(2)/25))/(LN(2)/25)*Calculateur!AQ81*Calculateur!AS81*VLOOKUP('Données projet'!$B$10,Paramètres!$A$1:$I$89,3,0)*0.475*44/12</f>
        <v>#N/A</v>
      </c>
      <c r="AW81" s="21" t="e">
        <f>EXP(-LN(2)/2)*AW80+(1-EXP(-LN(2)/2))/(LN(2)/2)*AQ81*AT81*VLOOKUP('Données projet'!$B$10,Paramètres!$A$1:$I$89,3,0)*0.475*44/12</f>
        <v>#N/A</v>
      </c>
      <c r="AX81" s="21" t="e">
        <f t="shared" si="60"/>
        <v>#N/A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1">
        <f t="shared" si="86"/>
        <v>12.82563220911333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7">
        <f t="shared" si="56"/>
        <v>390.79635943087231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4.5474735088646412E-13</v>
      </c>
      <c r="O82" s="13">
        <f>N82*VLOOKUP('Données projet'!$B$9,Paramètres!$A$1:$I$89,3,0)*VLOOKUP('Données projet'!$B$9,Paramètres!$A$1:$I$89,5,0)</f>
        <v>2.7193891583010558E-13</v>
      </c>
      <c r="P82" s="13">
        <f t="shared" si="87"/>
        <v>3.6362267729089988E-12</v>
      </c>
      <c r="Q82" s="20">
        <f t="shared" si="54"/>
        <v>6.8067219078872727E-12</v>
      </c>
      <c r="R82" s="59">
        <f t="shared" si="55"/>
        <v>293.33333333334014</v>
      </c>
      <c r="S82" s="59">
        <f ca="1">AVERAGE(OFFSET($R$3,0,0,'Données projet'!$E$9+1,1))-AVERAGE(OFFSET($H$3,0,0,'Données projet'!$E$9+1,1))</f>
        <v>252.28378247570731</v>
      </c>
      <c r="T82" s="59">
        <f t="shared" si="88"/>
        <v>263.50418595307343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11.124560290796145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1.7010874600584236E-6</v>
      </c>
      <c r="AC82" s="22">
        <f t="shared" si="57"/>
        <v>11.124561991883605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 t="e">
        <f>AI82*VLOOKUP('Données projet'!$B$10,Paramètres!$A$1:$I$89,3,0)*VLOOKUP('Données projet'!$B$10,Paramètres!$A$1:$I$89,5,0)</f>
        <v>#N/A</v>
      </c>
      <c r="AK82" s="13" t="e">
        <f t="shared" si="89"/>
        <v>#N/A</v>
      </c>
      <c r="AL82" s="20" t="e">
        <f t="shared" si="58"/>
        <v>#N/A</v>
      </c>
      <c r="AM82" s="59" t="e">
        <f t="shared" si="59"/>
        <v>#N/A</v>
      </c>
      <c r="AN82" s="59" t="e">
        <f ca="1">AVERAGE(OFFSET($AM$3,0,0,'Données projet'!$E$10+1,1))-AVERAGE(OFFSET($H$3,0,0,'Données projet'!$E$10+1,1))</f>
        <v>#N/A</v>
      </c>
      <c r="AO82" s="59" t="e">
        <f t="shared" si="90"/>
        <v>#N/A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 t="e">
        <f>EXP(-LN(2)/35)*AU81+(1-EXP(-LN(2)/35))/(LN(2)/35)*AQ82*AR82*VLOOKUP('Données projet'!$B$10,Paramètres!$A$1:$I$89,3,0)*0.475*44/12</f>
        <v>#N/A</v>
      </c>
      <c r="AV82" s="21" t="e">
        <f>EXP(-LN(2)/25)*AV81+(1-EXP(-LN(2)/25))/(LN(2)/25)*Calculateur!AQ82*Calculateur!AS82*VLOOKUP('Données projet'!$B$10,Paramètres!$A$1:$I$89,3,0)*0.475*44/12</f>
        <v>#N/A</v>
      </c>
      <c r="AW82" s="21" t="e">
        <f>EXP(-LN(2)/2)*AW81+(1-EXP(-LN(2)/2))/(LN(2)/2)*AQ82*AT82*VLOOKUP('Données projet'!$B$10,Paramètres!$A$1:$I$89,3,0)*0.475*44/12</f>
        <v>#N/A</v>
      </c>
      <c r="AX82" s="21" t="e">
        <f t="shared" si="60"/>
        <v>#N/A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1">
        <f t="shared" si="86"/>
        <v>12.968979282088567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7">
        <f t="shared" si="56"/>
        <v>391.99697224963751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4.5474735088646412E-13</v>
      </c>
      <c r="O83" s="13">
        <f>N83*VLOOKUP('Données projet'!$B$9,Paramètres!$A$1:$I$89,3,0)*VLOOKUP('Données projet'!$B$9,Paramètres!$A$1:$I$89,5,0)</f>
        <v>2.7193891583010558E-13</v>
      </c>
      <c r="P83" s="13">
        <f t="shared" si="87"/>
        <v>3.6362267729089988E-12</v>
      </c>
      <c r="Q83" s="20">
        <f t="shared" si="54"/>
        <v>6.8067219078872727E-12</v>
      </c>
      <c r="R83" s="59">
        <f t="shared" si="55"/>
        <v>293.33333333334014</v>
      </c>
      <c r="S83" s="59">
        <f ca="1">AVERAGE(OFFSET($R$3,0,0,'Données projet'!$E$9+1,1))-AVERAGE(OFFSET($H$3,0,0,'Données projet'!$E$9+1,1))</f>
        <v>252.28378247570731</v>
      </c>
      <c r="T83" s="59">
        <f t="shared" si="88"/>
        <v>263.50418595307343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10.906414448805416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1.2028504783987116E-6</v>
      </c>
      <c r="AC83" s="22">
        <f t="shared" si="57"/>
        <v>10.906415651655895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 t="e">
        <f>AI83*VLOOKUP('Données projet'!$B$10,Paramètres!$A$1:$I$89,3,0)*VLOOKUP('Données projet'!$B$10,Paramètres!$A$1:$I$89,5,0)</f>
        <v>#N/A</v>
      </c>
      <c r="AK83" s="13" t="e">
        <f t="shared" si="89"/>
        <v>#N/A</v>
      </c>
      <c r="AL83" s="20" t="e">
        <f t="shared" si="58"/>
        <v>#N/A</v>
      </c>
      <c r="AM83" s="59" t="e">
        <f t="shared" si="59"/>
        <v>#N/A</v>
      </c>
      <c r="AN83" s="59" t="e">
        <f ca="1">AVERAGE(OFFSET($AM$3,0,0,'Données projet'!$E$10+1,1))-AVERAGE(OFFSET($H$3,0,0,'Données projet'!$E$10+1,1))</f>
        <v>#N/A</v>
      </c>
      <c r="AO83" s="59" t="e">
        <f t="shared" si="90"/>
        <v>#N/A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 t="e">
        <f>EXP(-LN(2)/35)*AU82+(1-EXP(-LN(2)/35))/(LN(2)/35)*AQ83*AR83*VLOOKUP('Données projet'!$B$10,Paramètres!$A$1:$I$89,3,0)*0.475*44/12</f>
        <v>#N/A</v>
      </c>
      <c r="AV83" s="21" t="e">
        <f>EXP(-LN(2)/25)*AV82+(1-EXP(-LN(2)/25))/(LN(2)/25)*Calculateur!AQ83*Calculateur!AS83*VLOOKUP('Données projet'!$B$10,Paramètres!$A$1:$I$89,3,0)*0.475*44/12</f>
        <v>#N/A</v>
      </c>
      <c r="AW83" s="21" t="e">
        <f>EXP(-LN(2)/2)*AW82+(1-EXP(-LN(2)/2))/(LN(2)/2)*AQ83*AT83*VLOOKUP('Données projet'!$B$10,Paramètres!$A$1:$I$89,3,0)*0.475*44/12</f>
        <v>#N/A</v>
      </c>
      <c r="AX83" s="21" t="e">
        <f t="shared" si="60"/>
        <v>#N/A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1">
        <f t="shared" si="86"/>
        <v>13.112117930994097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7">
        <f t="shared" si="56"/>
        <v>393.19722206314799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4.5474735088646412E-13</v>
      </c>
      <c r="O84" s="13">
        <f>N84*VLOOKUP('Données projet'!$B$9,Paramètres!$A$1:$I$89,3,0)*VLOOKUP('Données projet'!$B$9,Paramètres!$A$1:$I$89,5,0)</f>
        <v>2.7193891583010558E-13</v>
      </c>
      <c r="P84" s="13">
        <f t="shared" si="87"/>
        <v>3.6362267729089988E-12</v>
      </c>
      <c r="Q84" s="20">
        <f t="shared" si="54"/>
        <v>6.8067219078872727E-12</v>
      </c>
      <c r="R84" s="59">
        <f t="shared" si="55"/>
        <v>293.33333333334014</v>
      </c>
      <c r="S84" s="59">
        <f ca="1">AVERAGE(OFFSET($R$3,0,0,'Données projet'!$E$9+1,1))-AVERAGE(OFFSET($H$3,0,0,'Données projet'!$E$9+1,1))</f>
        <v>252.28378247570731</v>
      </c>
      <c r="T84" s="59">
        <f t="shared" si="88"/>
        <v>263.50418595307343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10.6925463137203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8.5054373002921181E-7</v>
      </c>
      <c r="AC84" s="22">
        <f t="shared" si="57"/>
        <v>10.692547164264029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 t="e">
        <f>AI84*VLOOKUP('Données projet'!$B$10,Paramètres!$A$1:$I$89,3,0)*VLOOKUP('Données projet'!$B$10,Paramètres!$A$1:$I$89,5,0)</f>
        <v>#N/A</v>
      </c>
      <c r="AK84" s="13" t="e">
        <f t="shared" si="89"/>
        <v>#N/A</v>
      </c>
      <c r="AL84" s="20" t="e">
        <f t="shared" si="58"/>
        <v>#N/A</v>
      </c>
      <c r="AM84" s="59" t="e">
        <f t="shared" si="59"/>
        <v>#N/A</v>
      </c>
      <c r="AN84" s="59" t="e">
        <f ca="1">AVERAGE(OFFSET($AM$3,0,0,'Données projet'!$E$10+1,1))-AVERAGE(OFFSET($H$3,0,0,'Données projet'!$E$10+1,1))</f>
        <v>#N/A</v>
      </c>
      <c r="AO84" s="59" t="e">
        <f t="shared" si="90"/>
        <v>#N/A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 t="e">
        <f>EXP(-LN(2)/35)*AU83+(1-EXP(-LN(2)/35))/(LN(2)/35)*AQ84*AR84*VLOOKUP('Données projet'!$B$10,Paramètres!$A$1:$I$89,3,0)*0.475*44/12</f>
        <v>#N/A</v>
      </c>
      <c r="AV84" s="21" t="e">
        <f>EXP(-LN(2)/25)*AV83+(1-EXP(-LN(2)/25))/(LN(2)/25)*Calculateur!AQ84*Calculateur!AS84*VLOOKUP('Données projet'!$B$10,Paramètres!$A$1:$I$89,3,0)*0.475*44/12</f>
        <v>#N/A</v>
      </c>
      <c r="AW84" s="21" t="e">
        <f>EXP(-LN(2)/2)*AW83+(1-EXP(-LN(2)/2))/(LN(2)/2)*AQ84*AT84*VLOOKUP('Données projet'!$B$10,Paramètres!$A$1:$I$89,3,0)*0.475*44/12</f>
        <v>#N/A</v>
      </c>
      <c r="AX84" s="21" t="e">
        <f t="shared" si="60"/>
        <v>#N/A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1">
        <f t="shared" si="86"/>
        <v>13.255051026563269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7">
        <f t="shared" si="56"/>
        <v>394.39711387126425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4.5474735088646412E-13</v>
      </c>
      <c r="O85" s="13">
        <f>N85*VLOOKUP('Données projet'!$B$9,Paramètres!$A$1:$I$89,3,0)*VLOOKUP('Données projet'!$B$9,Paramètres!$A$1:$I$89,5,0)</f>
        <v>2.7193891583010558E-13</v>
      </c>
      <c r="P85" s="13">
        <f t="shared" si="87"/>
        <v>3.6362267729089988E-12</v>
      </c>
      <c r="Q85" s="20">
        <f t="shared" si="54"/>
        <v>6.8067219078872727E-12</v>
      </c>
      <c r="R85" s="59">
        <f t="shared" si="55"/>
        <v>293.33333333334014</v>
      </c>
      <c r="S85" s="59">
        <f ca="1">AVERAGE(OFFSET($R$3,0,0,'Données projet'!$E$9+1,1))-AVERAGE(OFFSET($H$3,0,0,'Données projet'!$E$9+1,1))</f>
        <v>252.28378247570731</v>
      </c>
      <c r="T85" s="59">
        <f t="shared" si="88"/>
        <v>263.50418595307343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10.482872002317521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6.0142523919935582E-7</v>
      </c>
      <c r="AC85" s="22">
        <f t="shared" si="57"/>
        <v>10.482872603742759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 t="e">
        <f>AI85*VLOOKUP('Données projet'!$B$10,Paramètres!$A$1:$I$89,3,0)*VLOOKUP('Données projet'!$B$10,Paramètres!$A$1:$I$89,5,0)</f>
        <v>#N/A</v>
      </c>
      <c r="AK85" s="13" t="e">
        <f t="shared" si="89"/>
        <v>#N/A</v>
      </c>
      <c r="AL85" s="20" t="e">
        <f t="shared" si="58"/>
        <v>#N/A</v>
      </c>
      <c r="AM85" s="59" t="e">
        <f t="shared" si="59"/>
        <v>#N/A</v>
      </c>
      <c r="AN85" s="59" t="e">
        <f ca="1">AVERAGE(OFFSET($AM$3,0,0,'Données projet'!$E$10+1,1))-AVERAGE(OFFSET($H$3,0,0,'Données projet'!$E$10+1,1))</f>
        <v>#N/A</v>
      </c>
      <c r="AO85" s="59" t="e">
        <f t="shared" si="90"/>
        <v>#N/A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 t="e">
        <f>EXP(-LN(2)/35)*AU84+(1-EXP(-LN(2)/35))/(LN(2)/35)*AQ85*AR85*VLOOKUP('Données projet'!$B$10,Paramètres!$A$1:$I$89,3,0)*0.475*44/12</f>
        <v>#N/A</v>
      </c>
      <c r="AV85" s="21" t="e">
        <f>EXP(-LN(2)/25)*AV84+(1-EXP(-LN(2)/25))/(LN(2)/25)*Calculateur!AQ85*Calculateur!AS85*VLOOKUP('Données projet'!$B$10,Paramètres!$A$1:$I$89,3,0)*0.475*44/12</f>
        <v>#N/A</v>
      </c>
      <c r="AW85" s="21" t="e">
        <f>EXP(-LN(2)/2)*AW84+(1-EXP(-LN(2)/2))/(LN(2)/2)*AQ85*AT85*VLOOKUP('Données projet'!$B$10,Paramètres!$A$1:$I$89,3,0)*0.475*44/12</f>
        <v>#N/A</v>
      </c>
      <c r="AX85" s="21" t="e">
        <f t="shared" si="60"/>
        <v>#N/A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1">
        <f t="shared" si="86"/>
        <v>13.397781365483624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7">
        <f t="shared" si="56"/>
        <v>395.59665254488391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4.5474735088646412E-13</v>
      </c>
      <c r="O86" s="13">
        <f>N86*VLOOKUP('Données projet'!$B$9,Paramètres!$A$1:$I$89,3,0)*VLOOKUP('Données projet'!$B$9,Paramètres!$A$1:$I$89,5,0)</f>
        <v>2.7193891583010558E-13</v>
      </c>
      <c r="P86" s="13">
        <f t="shared" si="87"/>
        <v>3.6362267729089988E-12</v>
      </c>
      <c r="Q86" s="20">
        <f t="shared" si="54"/>
        <v>6.8067219078872727E-12</v>
      </c>
      <c r="R86" s="59">
        <f t="shared" si="55"/>
        <v>293.33333333334014</v>
      </c>
      <c r="S86" s="59">
        <f ca="1">AVERAGE(OFFSET($R$3,0,0,'Données projet'!$E$9+1,1))-AVERAGE(OFFSET($H$3,0,0,'Données projet'!$E$9+1,1))</f>
        <v>252.28378247570731</v>
      </c>
      <c r="T86" s="59">
        <f t="shared" si="88"/>
        <v>263.50418595307343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10.277309276272648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4.252718650146059E-7</v>
      </c>
      <c r="AC86" s="22">
        <f t="shared" si="57"/>
        <v>10.277309701544514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 t="e">
        <f>AI86*VLOOKUP('Données projet'!$B$10,Paramètres!$A$1:$I$89,3,0)*VLOOKUP('Données projet'!$B$10,Paramètres!$A$1:$I$89,5,0)</f>
        <v>#N/A</v>
      </c>
      <c r="AK86" s="13" t="e">
        <f t="shared" si="89"/>
        <v>#N/A</v>
      </c>
      <c r="AL86" s="20" t="e">
        <f t="shared" si="58"/>
        <v>#N/A</v>
      </c>
      <c r="AM86" s="59" t="e">
        <f t="shared" si="59"/>
        <v>#N/A</v>
      </c>
      <c r="AN86" s="59" t="e">
        <f ca="1">AVERAGE(OFFSET($AM$3,0,0,'Données projet'!$E$10+1,1))-AVERAGE(OFFSET($H$3,0,0,'Données projet'!$E$10+1,1))</f>
        <v>#N/A</v>
      </c>
      <c r="AO86" s="59" t="e">
        <f t="shared" si="90"/>
        <v>#N/A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 t="e">
        <f>EXP(-LN(2)/35)*AU85+(1-EXP(-LN(2)/35))/(LN(2)/35)*AQ86*AR86*VLOOKUP('Données projet'!$B$10,Paramètres!$A$1:$I$89,3,0)*0.475*44/12</f>
        <v>#N/A</v>
      </c>
      <c r="AV86" s="21" t="e">
        <f>EXP(-LN(2)/25)*AV85+(1-EXP(-LN(2)/25))/(LN(2)/25)*Calculateur!AQ86*Calculateur!AS86*VLOOKUP('Données projet'!$B$10,Paramètres!$A$1:$I$89,3,0)*0.475*44/12</f>
        <v>#N/A</v>
      </c>
      <c r="AW86" s="21" t="e">
        <f>EXP(-LN(2)/2)*AW85+(1-EXP(-LN(2)/2))/(LN(2)/2)*AQ86*AT86*VLOOKUP('Données projet'!$B$10,Paramètres!$A$1:$I$89,3,0)*0.475*44/12</f>
        <v>#N/A</v>
      </c>
      <c r="AX86" s="21" t="e">
        <f t="shared" si="60"/>
        <v>#N/A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1">
        <f t="shared" si="86"/>
        <v>13.540311673175388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7">
        <f t="shared" si="56"/>
        <v>396.79584283078037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4.5474735088646412E-13</v>
      </c>
      <c r="O87" s="13">
        <f>N87*VLOOKUP('Données projet'!$B$9,Paramètres!$A$1:$I$89,3,0)*VLOOKUP('Données projet'!$B$9,Paramètres!$A$1:$I$89,5,0)</f>
        <v>2.7193891583010558E-13</v>
      </c>
      <c r="P87" s="13">
        <f t="shared" si="87"/>
        <v>3.6362267729089988E-12</v>
      </c>
      <c r="Q87" s="20">
        <f t="shared" si="54"/>
        <v>6.8067219078872727E-12</v>
      </c>
      <c r="R87" s="59">
        <f t="shared" si="55"/>
        <v>293.33333333334014</v>
      </c>
      <c r="S87" s="59">
        <f ca="1">AVERAGE(OFFSET($R$3,0,0,'Données projet'!$E$9+1,1))-AVERAGE(OFFSET($H$3,0,0,'Données projet'!$E$9+1,1))</f>
        <v>252.28378247570731</v>
      </c>
      <c r="T87" s="59">
        <f t="shared" si="88"/>
        <v>263.50418595307343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10.075777509904633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3.0071261959967791E-7</v>
      </c>
      <c r="AC87" s="22">
        <f t="shared" si="57"/>
        <v>10.075777810617252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 t="e">
        <f>AI87*VLOOKUP('Données projet'!$B$10,Paramètres!$A$1:$I$89,3,0)*VLOOKUP('Données projet'!$B$10,Paramètres!$A$1:$I$89,5,0)</f>
        <v>#N/A</v>
      </c>
      <c r="AK87" s="13" t="e">
        <f t="shared" si="89"/>
        <v>#N/A</v>
      </c>
      <c r="AL87" s="20" t="e">
        <f t="shared" si="58"/>
        <v>#N/A</v>
      </c>
      <c r="AM87" s="59" t="e">
        <f t="shared" si="59"/>
        <v>#N/A</v>
      </c>
      <c r="AN87" s="59" t="e">
        <f ca="1">AVERAGE(OFFSET($AM$3,0,0,'Données projet'!$E$10+1,1))-AVERAGE(OFFSET($H$3,0,0,'Données projet'!$E$10+1,1))</f>
        <v>#N/A</v>
      </c>
      <c r="AO87" s="59" t="e">
        <f t="shared" si="90"/>
        <v>#N/A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 t="e">
        <f>EXP(-LN(2)/35)*AU86+(1-EXP(-LN(2)/35))/(LN(2)/35)*AQ87*AR87*VLOOKUP('Données projet'!$B$10,Paramètres!$A$1:$I$89,3,0)*0.475*44/12</f>
        <v>#N/A</v>
      </c>
      <c r="AV87" s="21" t="e">
        <f>EXP(-LN(2)/25)*AV86+(1-EXP(-LN(2)/25))/(LN(2)/25)*Calculateur!AQ87*Calculateur!AS87*VLOOKUP('Données projet'!$B$10,Paramètres!$A$1:$I$89,3,0)*0.475*44/12</f>
        <v>#N/A</v>
      </c>
      <c r="AW87" s="21" t="e">
        <f>EXP(-LN(2)/2)*AW86+(1-EXP(-LN(2)/2))/(LN(2)/2)*AQ87*AT87*VLOOKUP('Données projet'!$B$10,Paramètres!$A$1:$I$89,3,0)*0.475*44/12</f>
        <v>#N/A</v>
      </c>
      <c r="AX87" s="21" t="e">
        <f t="shared" si="60"/>
        <v>#N/A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1">
        <f t="shared" si="86"/>
        <v>13.68264460643392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7">
        <f t="shared" si="56"/>
        <v>397.99468935620564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4.5474735088646412E-13</v>
      </c>
      <c r="O88" s="13">
        <f>N88*VLOOKUP('Données projet'!$B$9,Paramètres!$A$1:$I$89,3,0)*VLOOKUP('Données projet'!$B$9,Paramètres!$A$1:$I$89,5,0)</f>
        <v>2.7193891583010558E-13</v>
      </c>
      <c r="P88" s="13">
        <f t="shared" si="87"/>
        <v>3.6362267729089988E-12</v>
      </c>
      <c r="Q88" s="20">
        <f t="shared" si="54"/>
        <v>6.8067219078872727E-12</v>
      </c>
      <c r="R88" s="59">
        <f t="shared" si="55"/>
        <v>293.33333333334014</v>
      </c>
      <c r="S88" s="59">
        <f ca="1">AVERAGE(OFFSET($R$3,0,0,'Données projet'!$E$9+1,1))-AVERAGE(OFFSET($H$3,0,0,'Données projet'!$E$9+1,1))</f>
        <v>252.28378247570731</v>
      </c>
      <c r="T88" s="59">
        <f t="shared" si="88"/>
        <v>263.50418595307343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9.878197658552855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2.1263593250730295E-7</v>
      </c>
      <c r="AC88" s="22">
        <f t="shared" si="57"/>
        <v>9.878197871188787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 t="e">
        <f>AI88*VLOOKUP('Données projet'!$B$10,Paramètres!$A$1:$I$89,3,0)*VLOOKUP('Données projet'!$B$10,Paramètres!$A$1:$I$89,5,0)</f>
        <v>#N/A</v>
      </c>
      <c r="AK88" s="13" t="e">
        <f t="shared" si="89"/>
        <v>#N/A</v>
      </c>
      <c r="AL88" s="20" t="e">
        <f t="shared" si="58"/>
        <v>#N/A</v>
      </c>
      <c r="AM88" s="59" t="e">
        <f t="shared" si="59"/>
        <v>#N/A</v>
      </c>
      <c r="AN88" s="59" t="e">
        <f ca="1">AVERAGE(OFFSET($AM$3,0,0,'Données projet'!$E$10+1,1))-AVERAGE(OFFSET($H$3,0,0,'Données projet'!$E$10+1,1))</f>
        <v>#N/A</v>
      </c>
      <c r="AO88" s="59" t="e">
        <f t="shared" si="90"/>
        <v>#N/A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 t="e">
        <f>EXP(-LN(2)/35)*AU87+(1-EXP(-LN(2)/35))/(LN(2)/35)*AQ88*AR88*VLOOKUP('Données projet'!$B$10,Paramètres!$A$1:$I$89,3,0)*0.475*44/12</f>
        <v>#N/A</v>
      </c>
      <c r="AV88" s="21" t="e">
        <f>EXP(-LN(2)/25)*AV87+(1-EXP(-LN(2)/25))/(LN(2)/25)*Calculateur!AQ88*Calculateur!AS88*VLOOKUP('Données projet'!$B$10,Paramètres!$A$1:$I$89,3,0)*0.475*44/12</f>
        <v>#N/A</v>
      </c>
      <c r="AW88" s="21" t="e">
        <f>EXP(-LN(2)/2)*AW87+(1-EXP(-LN(2)/2))/(LN(2)/2)*AQ88*AT88*VLOOKUP('Données projet'!$B$10,Paramètres!$A$1:$I$89,3,0)*0.475*44/12</f>
        <v>#N/A</v>
      </c>
      <c r="AX88" s="21" t="e">
        <f t="shared" si="60"/>
        <v>#N/A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1">
        <f t="shared" si="86"/>
        <v>13.824782755944199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7">
        <f t="shared" si="56"/>
        <v>399.19319663326939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4.5474735088646412E-13</v>
      </c>
      <c r="O89" s="13">
        <f>N89*VLOOKUP('Données projet'!$B$9,Paramètres!$A$1:$I$89,3,0)*VLOOKUP('Données projet'!$B$9,Paramètres!$A$1:$I$89,5,0)</f>
        <v>2.7193891583010558E-13</v>
      </c>
      <c r="P89" s="13">
        <f t="shared" si="87"/>
        <v>3.6362267729089988E-12</v>
      </c>
      <c r="Q89" s="20">
        <f t="shared" si="54"/>
        <v>6.8067219078872727E-12</v>
      </c>
      <c r="R89" s="59">
        <f t="shared" si="55"/>
        <v>293.33333333334014</v>
      </c>
      <c r="S89" s="59">
        <f ca="1">AVERAGE(OFFSET($R$3,0,0,'Données projet'!$E$9+1,1))-AVERAGE(OFFSET($H$3,0,0,'Données projet'!$E$9+1,1))</f>
        <v>252.28378247570731</v>
      </c>
      <c r="T89" s="59">
        <f t="shared" si="88"/>
        <v>263.50418595307343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9.6844922275742746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1.5035630979983895E-7</v>
      </c>
      <c r="AC89" s="22">
        <f t="shared" si="57"/>
        <v>9.6844923779305851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 t="e">
        <f>AI89*VLOOKUP('Données projet'!$B$10,Paramètres!$A$1:$I$89,3,0)*VLOOKUP('Données projet'!$B$10,Paramètres!$A$1:$I$89,5,0)</f>
        <v>#N/A</v>
      </c>
      <c r="AK89" s="13" t="e">
        <f t="shared" si="89"/>
        <v>#N/A</v>
      </c>
      <c r="AL89" s="20" t="e">
        <f t="shared" si="58"/>
        <v>#N/A</v>
      </c>
      <c r="AM89" s="59" t="e">
        <f t="shared" si="59"/>
        <v>#N/A</v>
      </c>
      <c r="AN89" s="59" t="e">
        <f ca="1">AVERAGE(OFFSET($AM$3,0,0,'Données projet'!$E$10+1,1))-AVERAGE(OFFSET($H$3,0,0,'Données projet'!$E$10+1,1))</f>
        <v>#N/A</v>
      </c>
      <c r="AO89" s="59" t="e">
        <f t="shared" si="90"/>
        <v>#N/A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 t="e">
        <f>EXP(-LN(2)/35)*AU88+(1-EXP(-LN(2)/35))/(LN(2)/35)*AQ89*AR89*VLOOKUP('Données projet'!$B$10,Paramètres!$A$1:$I$89,3,0)*0.475*44/12</f>
        <v>#N/A</v>
      </c>
      <c r="AV89" s="21" t="e">
        <f>EXP(-LN(2)/25)*AV88+(1-EXP(-LN(2)/25))/(LN(2)/25)*Calculateur!AQ89*Calculateur!AS89*VLOOKUP('Données projet'!$B$10,Paramètres!$A$1:$I$89,3,0)*0.475*44/12</f>
        <v>#N/A</v>
      </c>
      <c r="AW89" s="21" t="e">
        <f>EXP(-LN(2)/2)*AW88+(1-EXP(-LN(2)/2))/(LN(2)/2)*AQ89*AT89*VLOOKUP('Données projet'!$B$10,Paramètres!$A$1:$I$89,3,0)*0.475*44/12</f>
        <v>#N/A</v>
      </c>
      <c r="AX89" s="21" t="e">
        <f t="shared" si="60"/>
        <v>#N/A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1">
        <f t="shared" si="86"/>
        <v>13.966728648675151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7">
        <f t="shared" si="56"/>
        <v>400.39136906310915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4.5474735088646412E-13</v>
      </c>
      <c r="O90" s="13">
        <f>N90*VLOOKUP('Données projet'!$B$9,Paramètres!$A$1:$I$89,3,0)*VLOOKUP('Données projet'!$B$9,Paramètres!$A$1:$I$89,5,0)</f>
        <v>2.7193891583010558E-13</v>
      </c>
      <c r="P90" s="13">
        <f t="shared" si="87"/>
        <v>3.6362267729089988E-12</v>
      </c>
      <c r="Q90" s="20">
        <f t="shared" si="54"/>
        <v>6.8067219078872727E-12</v>
      </c>
      <c r="R90" s="59">
        <f t="shared" si="55"/>
        <v>293.33333333334014</v>
      </c>
      <c r="S90" s="59">
        <f ca="1">AVERAGE(OFFSET($R$3,0,0,'Données projet'!$E$9+1,1))-AVERAGE(OFFSET($H$3,0,0,'Données projet'!$E$9+1,1))</f>
        <v>252.28378247570731</v>
      </c>
      <c r="T90" s="59">
        <f t="shared" si="88"/>
        <v>263.50418595307343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9.4945852419485384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1.0631796625365148E-7</v>
      </c>
      <c r="AC90" s="22">
        <f t="shared" si="57"/>
        <v>9.4945853482665044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 t="e">
        <f>AI90*VLOOKUP('Données projet'!$B$10,Paramètres!$A$1:$I$89,3,0)*VLOOKUP('Données projet'!$B$10,Paramètres!$A$1:$I$89,5,0)</f>
        <v>#N/A</v>
      </c>
      <c r="AK90" s="13" t="e">
        <f t="shared" si="89"/>
        <v>#N/A</v>
      </c>
      <c r="AL90" s="20" t="e">
        <f t="shared" si="58"/>
        <v>#N/A</v>
      </c>
      <c r="AM90" s="59" t="e">
        <f t="shared" si="59"/>
        <v>#N/A</v>
      </c>
      <c r="AN90" s="59" t="e">
        <f ca="1">AVERAGE(OFFSET($AM$3,0,0,'Données projet'!$E$10+1,1))-AVERAGE(OFFSET($H$3,0,0,'Données projet'!$E$10+1,1))</f>
        <v>#N/A</v>
      </c>
      <c r="AO90" s="59" t="e">
        <f t="shared" si="90"/>
        <v>#N/A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 t="e">
        <f>EXP(-LN(2)/35)*AU89+(1-EXP(-LN(2)/35))/(LN(2)/35)*AQ90*AR90*VLOOKUP('Données projet'!$B$10,Paramètres!$A$1:$I$89,3,0)*0.475*44/12</f>
        <v>#N/A</v>
      </c>
      <c r="AV90" s="21" t="e">
        <f>EXP(-LN(2)/25)*AV89+(1-EXP(-LN(2)/25))/(LN(2)/25)*Calculateur!AQ90*Calculateur!AS90*VLOOKUP('Données projet'!$B$10,Paramètres!$A$1:$I$89,3,0)*0.475*44/12</f>
        <v>#N/A</v>
      </c>
      <c r="AW90" s="21" t="e">
        <f>EXP(-LN(2)/2)*AW89+(1-EXP(-LN(2)/2))/(LN(2)/2)*AQ90*AT90*VLOOKUP('Données projet'!$B$10,Paramètres!$A$1:$I$89,3,0)*0.475*44/12</f>
        <v>#N/A</v>
      </c>
      <c r="AX90" s="21" t="e">
        <f t="shared" si="60"/>
        <v>#N/A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1">
        <f t="shared" si="86"/>
        <v>14.10848475016061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7">
        <f t="shared" si="56"/>
        <v>401.58921093986299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4.5474735088646412E-13</v>
      </c>
      <c r="O91" s="13">
        <f>N91*VLOOKUP('Données projet'!$B$9,Paramètres!$A$1:$I$89,3,0)*VLOOKUP('Données projet'!$B$9,Paramètres!$A$1:$I$89,5,0)</f>
        <v>2.7193891583010558E-13</v>
      </c>
      <c r="P91" s="13">
        <f t="shared" si="87"/>
        <v>3.6362267729089988E-12</v>
      </c>
      <c r="Q91" s="20">
        <f t="shared" si="54"/>
        <v>6.8067219078872727E-12</v>
      </c>
      <c r="R91" s="59">
        <f t="shared" si="55"/>
        <v>293.33333333334014</v>
      </c>
      <c r="S91" s="59">
        <f ca="1">AVERAGE(OFFSET($R$3,0,0,'Données projet'!$E$9+1,1))-AVERAGE(OFFSET($H$3,0,0,'Données projet'!$E$9+1,1))</f>
        <v>252.28378247570731</v>
      </c>
      <c r="T91" s="59">
        <f t="shared" si="88"/>
        <v>263.50418595307343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9.3084022164790987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7.5178154899919477E-8</v>
      </c>
      <c r="AC91" s="22">
        <f t="shared" si="57"/>
        <v>9.308402291657254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 t="e">
        <f>AI91*VLOOKUP('Données projet'!$B$10,Paramètres!$A$1:$I$89,3,0)*VLOOKUP('Données projet'!$B$10,Paramètres!$A$1:$I$89,5,0)</f>
        <v>#N/A</v>
      </c>
      <c r="AK91" s="13" t="e">
        <f t="shared" si="89"/>
        <v>#N/A</v>
      </c>
      <c r="AL91" s="20" t="e">
        <f t="shared" si="58"/>
        <v>#N/A</v>
      </c>
      <c r="AM91" s="59" t="e">
        <f t="shared" si="59"/>
        <v>#N/A</v>
      </c>
      <c r="AN91" s="59" t="e">
        <f ca="1">AVERAGE(OFFSET($AM$3,0,0,'Données projet'!$E$10+1,1))-AVERAGE(OFFSET($H$3,0,0,'Données projet'!$E$10+1,1))</f>
        <v>#N/A</v>
      </c>
      <c r="AO91" s="59" t="e">
        <f t="shared" si="90"/>
        <v>#N/A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 t="e">
        <f>EXP(-LN(2)/35)*AU90+(1-EXP(-LN(2)/35))/(LN(2)/35)*AQ91*AR91*VLOOKUP('Données projet'!$B$10,Paramètres!$A$1:$I$89,3,0)*0.475*44/12</f>
        <v>#N/A</v>
      </c>
      <c r="AV91" s="21" t="e">
        <f>EXP(-LN(2)/25)*AV90+(1-EXP(-LN(2)/25))/(LN(2)/25)*Calculateur!AQ91*Calculateur!AS91*VLOOKUP('Données projet'!$B$10,Paramètres!$A$1:$I$89,3,0)*0.475*44/12</f>
        <v>#N/A</v>
      </c>
      <c r="AW91" s="21" t="e">
        <f>EXP(-LN(2)/2)*AW90+(1-EXP(-LN(2)/2))/(LN(2)/2)*AQ91*AT91*VLOOKUP('Données projet'!$B$10,Paramètres!$A$1:$I$89,3,0)*0.475*44/12</f>
        <v>#N/A</v>
      </c>
      <c r="AX91" s="21" t="e">
        <f t="shared" si="60"/>
        <v>#N/A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1">
        <f t="shared" si="86"/>
        <v>14.250053466673728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7">
        <f t="shared" si="56"/>
        <v>402.78672645445664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4.5474735088646412E-13</v>
      </c>
      <c r="O92" s="13">
        <f>N92*VLOOKUP('Données projet'!$B$9,Paramètres!$A$1:$I$89,3,0)*VLOOKUP('Données projet'!$B$9,Paramètres!$A$1:$I$89,5,0)</f>
        <v>2.7193891583010558E-13</v>
      </c>
      <c r="P92" s="13">
        <f t="shared" si="87"/>
        <v>3.6362267729089988E-12</v>
      </c>
      <c r="Q92" s="20">
        <f t="shared" si="54"/>
        <v>6.8067219078872727E-12</v>
      </c>
      <c r="R92" s="59">
        <f t="shared" si="55"/>
        <v>293.33333333334014</v>
      </c>
      <c r="S92" s="59">
        <f ca="1">AVERAGE(OFFSET($R$3,0,0,'Données projet'!$E$9+1,1))-AVERAGE(OFFSET($H$3,0,0,'Données projet'!$E$9+1,1))</f>
        <v>252.28378247570731</v>
      </c>
      <c r="T92" s="59">
        <f t="shared" si="88"/>
        <v>263.50418595307343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9.1258701265786826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5.3158983126825738E-8</v>
      </c>
      <c r="AC92" s="22">
        <f t="shared" si="57"/>
        <v>9.1258701797376656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 t="e">
        <f>AI92*VLOOKUP('Données projet'!$B$10,Paramètres!$A$1:$I$89,3,0)*VLOOKUP('Données projet'!$B$10,Paramètres!$A$1:$I$89,5,0)</f>
        <v>#N/A</v>
      </c>
      <c r="AK92" s="13" t="e">
        <f t="shared" si="89"/>
        <v>#N/A</v>
      </c>
      <c r="AL92" s="20" t="e">
        <f t="shared" si="58"/>
        <v>#N/A</v>
      </c>
      <c r="AM92" s="59" t="e">
        <f t="shared" si="59"/>
        <v>#N/A</v>
      </c>
      <c r="AN92" s="59" t="e">
        <f ca="1">AVERAGE(OFFSET($AM$3,0,0,'Données projet'!$E$10+1,1))-AVERAGE(OFFSET($H$3,0,0,'Données projet'!$E$10+1,1))</f>
        <v>#N/A</v>
      </c>
      <c r="AO92" s="59" t="e">
        <f t="shared" si="90"/>
        <v>#N/A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 t="e">
        <f>EXP(-LN(2)/35)*AU91+(1-EXP(-LN(2)/35))/(LN(2)/35)*AQ92*AR92*VLOOKUP('Données projet'!$B$10,Paramètres!$A$1:$I$89,3,0)*0.475*44/12</f>
        <v>#N/A</v>
      </c>
      <c r="AV92" s="21" t="e">
        <f>EXP(-LN(2)/25)*AV91+(1-EXP(-LN(2)/25))/(LN(2)/25)*Calculateur!AQ92*Calculateur!AS92*VLOOKUP('Données projet'!$B$10,Paramètres!$A$1:$I$89,3,0)*0.475*44/12</f>
        <v>#N/A</v>
      </c>
      <c r="AW92" s="21" t="e">
        <f>EXP(-LN(2)/2)*AW91+(1-EXP(-LN(2)/2))/(LN(2)/2)*AQ92*AT92*VLOOKUP('Données projet'!$B$10,Paramètres!$A$1:$I$89,3,0)*0.475*44/12</f>
        <v>#N/A</v>
      </c>
      <c r="AX92" s="21" t="e">
        <f t="shared" si="60"/>
        <v>#N/A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1">
        <f t="shared" si="86"/>
        <v>14.391437147300854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7">
        <f t="shared" si="56"/>
        <v>403.98391969821557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4.5474735088646412E-13</v>
      </c>
      <c r="O93" s="13">
        <f>N93*VLOOKUP('Données projet'!$B$9,Paramètres!$A$1:$I$89,3,0)*VLOOKUP('Données projet'!$B$9,Paramètres!$A$1:$I$89,5,0)</f>
        <v>2.7193891583010558E-13</v>
      </c>
      <c r="P93" s="13">
        <f t="shared" si="87"/>
        <v>3.6362267729089988E-12</v>
      </c>
      <c r="Q93" s="20">
        <f t="shared" si="54"/>
        <v>6.8067219078872727E-12</v>
      </c>
      <c r="R93" s="59">
        <f t="shared" si="55"/>
        <v>293.33333333334014</v>
      </c>
      <c r="S93" s="59">
        <f ca="1">AVERAGE(OFFSET($R$3,0,0,'Données projet'!$E$9+1,1))-AVERAGE(OFFSET($H$3,0,0,'Données projet'!$E$9+1,1))</f>
        <v>252.28378247570731</v>
      </c>
      <c r="T93" s="59">
        <f t="shared" si="88"/>
        <v>263.50418595307343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8.9469173796276316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3.7589077449959738E-8</v>
      </c>
      <c r="AC93" s="22">
        <f t="shared" si="57"/>
        <v>8.9469174172167083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 t="e">
        <f>AI93*VLOOKUP('Données projet'!$B$10,Paramètres!$A$1:$I$89,3,0)*VLOOKUP('Données projet'!$B$10,Paramètres!$A$1:$I$89,5,0)</f>
        <v>#N/A</v>
      </c>
      <c r="AK93" s="13" t="e">
        <f t="shared" si="89"/>
        <v>#N/A</v>
      </c>
      <c r="AL93" s="20" t="e">
        <f t="shared" si="58"/>
        <v>#N/A</v>
      </c>
      <c r="AM93" s="59" t="e">
        <f t="shared" si="59"/>
        <v>#N/A</v>
      </c>
      <c r="AN93" s="59" t="e">
        <f ca="1">AVERAGE(OFFSET($AM$3,0,0,'Données projet'!$E$10+1,1))-AVERAGE(OFFSET($H$3,0,0,'Données projet'!$E$10+1,1))</f>
        <v>#N/A</v>
      </c>
      <c r="AO93" s="59" t="e">
        <f t="shared" si="90"/>
        <v>#N/A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 t="e">
        <f>EXP(-LN(2)/35)*AU92+(1-EXP(-LN(2)/35))/(LN(2)/35)*AQ93*AR93*VLOOKUP('Données projet'!$B$10,Paramètres!$A$1:$I$89,3,0)*0.475*44/12</f>
        <v>#N/A</v>
      </c>
      <c r="AV93" s="21" t="e">
        <f>EXP(-LN(2)/25)*AV92+(1-EXP(-LN(2)/25))/(LN(2)/25)*Calculateur!AQ93*Calculateur!AS93*VLOOKUP('Données projet'!$B$10,Paramètres!$A$1:$I$89,3,0)*0.475*44/12</f>
        <v>#N/A</v>
      </c>
      <c r="AW93" s="21" t="e">
        <f>EXP(-LN(2)/2)*AW92+(1-EXP(-LN(2)/2))/(LN(2)/2)*AQ93*AT93*VLOOKUP('Données projet'!$B$10,Paramètres!$A$1:$I$89,3,0)*0.475*44/12</f>
        <v>#N/A</v>
      </c>
      <c r="AX93" s="21" t="e">
        <f t="shared" si="60"/>
        <v>#N/A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1">
        <f t="shared" si="86"/>
        <v>14.532638085920599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7">
        <f t="shared" si="56"/>
        <v>405.18079466631161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4.5474735088646412E-13</v>
      </c>
      <c r="O94" s="13">
        <f>N94*VLOOKUP('Données projet'!$B$9,Paramètres!$A$1:$I$89,3,0)*VLOOKUP('Données projet'!$B$9,Paramètres!$A$1:$I$89,5,0)</f>
        <v>2.7193891583010558E-13</v>
      </c>
      <c r="P94" s="13">
        <f t="shared" si="87"/>
        <v>3.6362267729089988E-12</v>
      </c>
      <c r="Q94" s="20">
        <f t="shared" si="54"/>
        <v>6.8067219078872727E-12</v>
      </c>
      <c r="R94" s="59">
        <f t="shared" si="55"/>
        <v>293.33333333334014</v>
      </c>
      <c r="S94" s="59">
        <f ca="1">AVERAGE(OFFSET($R$3,0,0,'Données projet'!$E$9+1,1))-AVERAGE(OFFSET($H$3,0,0,'Données projet'!$E$9+1,1))</f>
        <v>252.28378247570731</v>
      </c>
      <c r="T94" s="59">
        <f t="shared" si="88"/>
        <v>263.50418595307343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8.7714737868938926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2.6579491563412869E-8</v>
      </c>
      <c r="AC94" s="22">
        <f t="shared" si="57"/>
        <v>8.771473813473385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 t="e">
        <f>AI94*VLOOKUP('Données projet'!$B$10,Paramètres!$A$1:$I$89,3,0)*VLOOKUP('Données projet'!$B$10,Paramètres!$A$1:$I$89,5,0)</f>
        <v>#N/A</v>
      </c>
      <c r="AK94" s="13" t="e">
        <f t="shared" si="89"/>
        <v>#N/A</v>
      </c>
      <c r="AL94" s="20" t="e">
        <f t="shared" si="58"/>
        <v>#N/A</v>
      </c>
      <c r="AM94" s="59" t="e">
        <f t="shared" si="59"/>
        <v>#N/A</v>
      </c>
      <c r="AN94" s="59" t="e">
        <f ca="1">AVERAGE(OFFSET($AM$3,0,0,'Données projet'!$E$10+1,1))-AVERAGE(OFFSET($H$3,0,0,'Données projet'!$E$10+1,1))</f>
        <v>#N/A</v>
      </c>
      <c r="AO94" s="59" t="e">
        <f t="shared" si="90"/>
        <v>#N/A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 t="e">
        <f>EXP(-LN(2)/35)*AU93+(1-EXP(-LN(2)/35))/(LN(2)/35)*AQ94*AR94*VLOOKUP('Données projet'!$B$10,Paramètres!$A$1:$I$89,3,0)*0.475*44/12</f>
        <v>#N/A</v>
      </c>
      <c r="AV94" s="21" t="e">
        <f>EXP(-LN(2)/25)*AV93+(1-EXP(-LN(2)/25))/(LN(2)/25)*Calculateur!AQ94*Calculateur!AS94*VLOOKUP('Données projet'!$B$10,Paramètres!$A$1:$I$89,3,0)*0.475*44/12</f>
        <v>#N/A</v>
      </c>
      <c r="AW94" s="21" t="e">
        <f>EXP(-LN(2)/2)*AW93+(1-EXP(-LN(2)/2))/(LN(2)/2)*AQ94*AT94*VLOOKUP('Données projet'!$B$10,Paramètres!$A$1:$I$89,3,0)*0.475*44/12</f>
        <v>#N/A</v>
      </c>
      <c r="AX94" s="21" t="e">
        <f t="shared" si="60"/>
        <v>#N/A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1">
        <f t="shared" si="86"/>
        <v>14.673658523093403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7">
        <f t="shared" si="56"/>
        <v>406.37735526105428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4.5474735088646412E-13</v>
      </c>
      <c r="O95" s="13">
        <f>N95*VLOOKUP('Données projet'!$B$9,Paramètres!$A$1:$I$89,3,0)*VLOOKUP('Données projet'!$B$9,Paramètres!$A$1:$I$89,5,0)</f>
        <v>2.7193891583010558E-13</v>
      </c>
      <c r="P95" s="13">
        <f t="shared" si="87"/>
        <v>3.6362267729089988E-12</v>
      </c>
      <c r="Q95" s="20">
        <f t="shared" si="54"/>
        <v>6.8067219078872727E-12</v>
      </c>
      <c r="R95" s="59">
        <f t="shared" si="55"/>
        <v>293.33333333334014</v>
      </c>
      <c r="S95" s="59">
        <f ca="1">AVERAGE(OFFSET($R$3,0,0,'Données projet'!$E$9+1,1))-AVERAGE(OFFSET($H$3,0,0,'Données projet'!$E$9+1,1))</f>
        <v>252.28378247570731</v>
      </c>
      <c r="T95" s="59">
        <f t="shared" si="88"/>
        <v>263.50418595307343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8.5994705360036381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1.8794538724979869E-8</v>
      </c>
      <c r="AC95" s="22">
        <f t="shared" si="57"/>
        <v>8.5994705547981773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 t="e">
        <f>AI95*VLOOKUP('Données projet'!$B$10,Paramètres!$A$1:$I$89,3,0)*VLOOKUP('Données projet'!$B$10,Paramètres!$A$1:$I$89,5,0)</f>
        <v>#N/A</v>
      </c>
      <c r="AK95" s="13" t="e">
        <f t="shared" si="89"/>
        <v>#N/A</v>
      </c>
      <c r="AL95" s="20" t="e">
        <f t="shared" si="58"/>
        <v>#N/A</v>
      </c>
      <c r="AM95" s="59" t="e">
        <f t="shared" si="59"/>
        <v>#N/A</v>
      </c>
      <c r="AN95" s="59" t="e">
        <f ca="1">AVERAGE(OFFSET($AM$3,0,0,'Données projet'!$E$10+1,1))-AVERAGE(OFFSET($H$3,0,0,'Données projet'!$E$10+1,1))</f>
        <v>#N/A</v>
      </c>
      <c r="AO95" s="59" t="e">
        <f t="shared" si="90"/>
        <v>#N/A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 t="e">
        <f>EXP(-LN(2)/35)*AU94+(1-EXP(-LN(2)/35))/(LN(2)/35)*AQ95*AR95*VLOOKUP('Données projet'!$B$10,Paramètres!$A$1:$I$89,3,0)*0.475*44/12</f>
        <v>#N/A</v>
      </c>
      <c r="AV95" s="21" t="e">
        <f>EXP(-LN(2)/25)*AV94+(1-EXP(-LN(2)/25))/(LN(2)/25)*Calculateur!AQ95*Calculateur!AS95*VLOOKUP('Données projet'!$B$10,Paramètres!$A$1:$I$89,3,0)*0.475*44/12</f>
        <v>#N/A</v>
      </c>
      <c r="AW95" s="21" t="e">
        <f>EXP(-LN(2)/2)*AW94+(1-EXP(-LN(2)/2))/(LN(2)/2)*AQ95*AT95*VLOOKUP('Données projet'!$B$10,Paramètres!$A$1:$I$89,3,0)*0.475*44/12</f>
        <v>#N/A</v>
      </c>
      <c r="AX95" s="21" t="e">
        <f t="shared" si="60"/>
        <v>#N/A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1">
        <f t="shared" si="86"/>
        <v>14.814500647866689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7">
        <f t="shared" si="56"/>
        <v>407.57360529503438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4.5474735088646412E-13</v>
      </c>
      <c r="O96" s="13">
        <f>N96*VLOOKUP('Données projet'!$B$9,Paramètres!$A$1:$I$89,3,0)*VLOOKUP('Données projet'!$B$9,Paramètres!$A$1:$I$89,5,0)</f>
        <v>2.7193891583010558E-13</v>
      </c>
      <c r="P96" s="13">
        <f t="shared" si="87"/>
        <v>3.6362267729089988E-12</v>
      </c>
      <c r="Q96" s="20">
        <f t="shared" si="54"/>
        <v>6.8067219078872727E-12</v>
      </c>
      <c r="R96" s="59">
        <f t="shared" si="55"/>
        <v>293.33333333334014</v>
      </c>
      <c r="S96" s="59">
        <f ca="1">AVERAGE(OFFSET($R$3,0,0,'Données projet'!$E$9+1,1))-AVERAGE(OFFSET($H$3,0,0,'Données projet'!$E$9+1,1))</f>
        <v>252.28378247570731</v>
      </c>
      <c r="T96" s="59">
        <f t="shared" si="88"/>
        <v>263.50418595307343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8.4308401639517179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1.3289745781706434E-8</v>
      </c>
      <c r="AC96" s="22">
        <f t="shared" si="57"/>
        <v>8.4308401772414641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 t="e">
        <f>AI96*VLOOKUP('Données projet'!$B$10,Paramètres!$A$1:$I$89,3,0)*VLOOKUP('Données projet'!$B$10,Paramètres!$A$1:$I$89,5,0)</f>
        <v>#N/A</v>
      </c>
      <c r="AK96" s="13" t="e">
        <f t="shared" si="89"/>
        <v>#N/A</v>
      </c>
      <c r="AL96" s="20" t="e">
        <f t="shared" si="58"/>
        <v>#N/A</v>
      </c>
      <c r="AM96" s="59" t="e">
        <f t="shared" si="59"/>
        <v>#N/A</v>
      </c>
      <c r="AN96" s="59" t="e">
        <f ca="1">AVERAGE(OFFSET($AM$3,0,0,'Données projet'!$E$10+1,1))-AVERAGE(OFFSET($H$3,0,0,'Données projet'!$E$10+1,1))</f>
        <v>#N/A</v>
      </c>
      <c r="AO96" s="59" t="e">
        <f t="shared" si="90"/>
        <v>#N/A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 t="e">
        <f>EXP(-LN(2)/35)*AU95+(1-EXP(-LN(2)/35))/(LN(2)/35)*AQ96*AR96*VLOOKUP('Données projet'!$B$10,Paramètres!$A$1:$I$89,3,0)*0.475*44/12</f>
        <v>#N/A</v>
      </c>
      <c r="AV96" s="21" t="e">
        <f>EXP(-LN(2)/25)*AV95+(1-EXP(-LN(2)/25))/(LN(2)/25)*Calculateur!AQ96*Calculateur!AS96*VLOOKUP('Données projet'!$B$10,Paramètres!$A$1:$I$89,3,0)*0.475*44/12</f>
        <v>#N/A</v>
      </c>
      <c r="AW96" s="21" t="e">
        <f>EXP(-LN(2)/2)*AW95+(1-EXP(-LN(2)/2))/(LN(2)/2)*AQ96*AT96*VLOOKUP('Données projet'!$B$10,Paramètres!$A$1:$I$89,3,0)*0.475*44/12</f>
        <v>#N/A</v>
      </c>
      <c r="AX96" s="21" t="e">
        <f t="shared" si="60"/>
        <v>#N/A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1">
        <f t="shared" si="86"/>
        <v>14.955166599500016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7">
        <f t="shared" si="56"/>
        <v>408.76954849412908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4.5474735088646412E-13</v>
      </c>
      <c r="O97" s="13">
        <f>N97*VLOOKUP('Données projet'!$B$9,Paramètres!$A$1:$I$89,3,0)*VLOOKUP('Données projet'!$B$9,Paramètres!$A$1:$I$89,5,0)</f>
        <v>2.7193891583010558E-13</v>
      </c>
      <c r="P97" s="13">
        <f t="shared" si="87"/>
        <v>3.6362267729089988E-12</v>
      </c>
      <c r="Q97" s="20">
        <f t="shared" si="54"/>
        <v>6.8067219078872727E-12</v>
      </c>
      <c r="R97" s="59">
        <f t="shared" si="55"/>
        <v>293.33333333334014</v>
      </c>
      <c r="S97" s="59">
        <f ca="1">AVERAGE(OFFSET($R$3,0,0,'Données projet'!$E$9+1,1))-AVERAGE(OFFSET($H$3,0,0,'Données projet'!$E$9+1,1))</f>
        <v>252.28378247570731</v>
      </c>
      <c r="T97" s="59">
        <f t="shared" si="88"/>
        <v>263.50418595307343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8.2655165306413636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9.3972693624899346E-9</v>
      </c>
      <c r="AC97" s="22">
        <f t="shared" si="57"/>
        <v>8.2655165400386323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 t="e">
        <f>AI97*VLOOKUP('Données projet'!$B$10,Paramètres!$A$1:$I$89,3,0)*VLOOKUP('Données projet'!$B$10,Paramètres!$A$1:$I$89,5,0)</f>
        <v>#N/A</v>
      </c>
      <c r="AK97" s="13" t="e">
        <f t="shared" si="89"/>
        <v>#N/A</v>
      </c>
      <c r="AL97" s="20" t="e">
        <f t="shared" si="58"/>
        <v>#N/A</v>
      </c>
      <c r="AM97" s="59" t="e">
        <f t="shared" si="59"/>
        <v>#N/A</v>
      </c>
      <c r="AN97" s="59" t="e">
        <f ca="1">AVERAGE(OFFSET($AM$3,0,0,'Données projet'!$E$10+1,1))-AVERAGE(OFFSET($H$3,0,0,'Données projet'!$E$10+1,1))</f>
        <v>#N/A</v>
      </c>
      <c r="AO97" s="59" t="e">
        <f t="shared" si="90"/>
        <v>#N/A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 t="e">
        <f>EXP(-LN(2)/35)*AU96+(1-EXP(-LN(2)/35))/(LN(2)/35)*AQ97*AR97*VLOOKUP('Données projet'!$B$10,Paramètres!$A$1:$I$89,3,0)*0.475*44/12</f>
        <v>#N/A</v>
      </c>
      <c r="AV97" s="21" t="e">
        <f>EXP(-LN(2)/25)*AV96+(1-EXP(-LN(2)/25))/(LN(2)/25)*Calculateur!AQ97*Calculateur!AS97*VLOOKUP('Données projet'!$B$10,Paramètres!$A$1:$I$89,3,0)*0.475*44/12</f>
        <v>#N/A</v>
      </c>
      <c r="AW97" s="21" t="e">
        <f>EXP(-LN(2)/2)*AW96+(1-EXP(-LN(2)/2))/(LN(2)/2)*AQ97*AT97*VLOOKUP('Données projet'!$B$10,Paramètres!$A$1:$I$89,3,0)*0.475*44/12</f>
        <v>#N/A</v>
      </c>
      <c r="AX97" s="21" t="e">
        <f t="shared" si="60"/>
        <v>#N/A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1">
        <f t="shared" si="86"/>
        <v>15.0956584691149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7">
        <f t="shared" si="56"/>
        <v>409.96518850037501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4.5474735088646412E-13</v>
      </c>
      <c r="O98" s="13">
        <f>N98*VLOOKUP('Données projet'!$B$9,Paramètres!$A$1:$I$89,3,0)*VLOOKUP('Données projet'!$B$9,Paramètres!$A$1:$I$89,5,0)</f>
        <v>2.7193891583010558E-13</v>
      </c>
      <c r="P98" s="13">
        <f t="shared" si="87"/>
        <v>3.6362267729089988E-12</v>
      </c>
      <c r="Q98" s="20">
        <f t="shared" si="54"/>
        <v>6.8067219078872727E-12</v>
      </c>
      <c r="R98" s="59">
        <f t="shared" si="55"/>
        <v>293.33333333334014</v>
      </c>
      <c r="S98" s="59">
        <f ca="1">AVERAGE(OFFSET($R$3,0,0,'Données projet'!$E$9+1,1))-AVERAGE(OFFSET($H$3,0,0,'Données projet'!$E$9+1,1))</f>
        <v>252.28378247570731</v>
      </c>
      <c r="T98" s="59">
        <f t="shared" si="88"/>
        <v>263.50418595307343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8.1034347929427675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6.6448728908532172E-9</v>
      </c>
      <c r="AC98" s="22">
        <f t="shared" si="57"/>
        <v>8.1034347995876406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 t="e">
        <f>AI98*VLOOKUP('Données projet'!$B$10,Paramètres!$A$1:$I$89,3,0)*VLOOKUP('Données projet'!$B$10,Paramètres!$A$1:$I$89,5,0)</f>
        <v>#N/A</v>
      </c>
      <c r="AK98" s="13" t="e">
        <f t="shared" si="89"/>
        <v>#N/A</v>
      </c>
      <c r="AL98" s="20" t="e">
        <f t="shared" si="58"/>
        <v>#N/A</v>
      </c>
      <c r="AM98" s="59" t="e">
        <f t="shared" si="59"/>
        <v>#N/A</v>
      </c>
      <c r="AN98" s="59" t="e">
        <f ca="1">AVERAGE(OFFSET($AM$3,0,0,'Données projet'!$E$10+1,1))-AVERAGE(OFFSET($H$3,0,0,'Données projet'!$E$10+1,1))</f>
        <v>#N/A</v>
      </c>
      <c r="AO98" s="59" t="e">
        <f t="shared" si="90"/>
        <v>#N/A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 t="e">
        <f>EXP(-LN(2)/35)*AU97+(1-EXP(-LN(2)/35))/(LN(2)/35)*AQ98*AR98*VLOOKUP('Données projet'!$B$10,Paramètres!$A$1:$I$89,3,0)*0.475*44/12</f>
        <v>#N/A</v>
      </c>
      <c r="AV98" s="21" t="e">
        <f>EXP(-LN(2)/25)*AV97+(1-EXP(-LN(2)/25))/(LN(2)/25)*Calculateur!AQ98*Calculateur!AS98*VLOOKUP('Données projet'!$B$10,Paramètres!$A$1:$I$89,3,0)*0.475*44/12</f>
        <v>#N/A</v>
      </c>
      <c r="AW98" s="21" t="e">
        <f>EXP(-LN(2)/2)*AW97+(1-EXP(-LN(2)/2))/(LN(2)/2)*AQ98*AT98*VLOOKUP('Données projet'!$B$10,Paramètres!$A$1:$I$89,3,0)*0.475*44/12</f>
        <v>#N/A</v>
      </c>
      <c r="AX98" s="21" t="e">
        <f t="shared" si="60"/>
        <v>#N/A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1">
        <f t="shared" si="86"/>
        <v>15.235978301273022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7">
        <f t="shared" si="56"/>
        <v>411.1605288747171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4.5474735088646412E-13</v>
      </c>
      <c r="O99" s="13">
        <f>N99*VLOOKUP('Données projet'!$B$9,Paramètres!$A$1:$I$89,3,0)*VLOOKUP('Données projet'!$B$9,Paramètres!$A$1:$I$89,5,0)</f>
        <v>2.7193891583010558E-13</v>
      </c>
      <c r="P99" s="13">
        <f t="shared" si="87"/>
        <v>3.6362267729089988E-12</v>
      </c>
      <c r="Q99" s="20">
        <f t="shared" ref="Q99:Q130" si="107">(O99+P99)*0.475*44/12</f>
        <v>6.8067219078872727E-12</v>
      </c>
      <c r="R99" s="59">
        <f t="shared" si="55"/>
        <v>293.33333333334014</v>
      </c>
      <c r="S99" s="59">
        <f ca="1">AVERAGE(OFFSET($R$3,0,0,'Données projet'!$E$9+1,1))-AVERAGE(OFFSET($H$3,0,0,'Données projet'!$E$9+1,1))</f>
        <v>252.28378247570731</v>
      </c>
      <c r="T99" s="59">
        <f t="shared" si="88"/>
        <v>263.50418595307343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7.9445313792603418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4.6986346812449673E-9</v>
      </c>
      <c r="AC99" s="22">
        <f t="shared" si="57"/>
        <v>7.9445313839589762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 t="e">
        <f>AI99*VLOOKUP('Données projet'!$B$10,Paramètres!$A$1:$I$89,3,0)*VLOOKUP('Données projet'!$B$10,Paramètres!$A$1:$I$89,5,0)</f>
        <v>#N/A</v>
      </c>
      <c r="AK99" s="13" t="e">
        <f t="shared" si="89"/>
        <v>#N/A</v>
      </c>
      <c r="AL99" s="20" t="e">
        <f t="shared" si="58"/>
        <v>#N/A</v>
      </c>
      <c r="AM99" s="59" t="e">
        <f t="shared" si="59"/>
        <v>#N/A</v>
      </c>
      <c r="AN99" s="59" t="e">
        <f ca="1">AVERAGE(OFFSET($AM$3,0,0,'Données projet'!$E$10+1,1))-AVERAGE(OFFSET($H$3,0,0,'Données projet'!$E$10+1,1))</f>
        <v>#N/A</v>
      </c>
      <c r="AO99" s="59" t="e">
        <f t="shared" si="90"/>
        <v>#N/A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 t="e">
        <f>EXP(-LN(2)/35)*AU98+(1-EXP(-LN(2)/35))/(LN(2)/35)*AQ99*AR99*VLOOKUP('Données projet'!$B$10,Paramètres!$A$1:$I$89,3,0)*0.475*44/12</f>
        <v>#N/A</v>
      </c>
      <c r="AV99" s="21" t="e">
        <f>EXP(-LN(2)/25)*AV98+(1-EXP(-LN(2)/25))/(LN(2)/25)*Calculateur!AQ99*Calculateur!AS99*VLOOKUP('Données projet'!$B$10,Paramètres!$A$1:$I$89,3,0)*0.475*44/12</f>
        <v>#N/A</v>
      </c>
      <c r="AW99" s="21" t="e">
        <f>EXP(-LN(2)/2)*AW98+(1-EXP(-LN(2)/2))/(LN(2)/2)*AQ99*AT99*VLOOKUP('Données projet'!$B$10,Paramètres!$A$1:$I$89,3,0)*0.475*44/12</f>
        <v>#N/A</v>
      </c>
      <c r="AX99" s="21" t="e">
        <f t="shared" si="60"/>
        <v>#N/A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1">
        <f t="shared" si="86"/>
        <v>15.376128095486868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7">
        <f t="shared" si="56"/>
        <v>412.35557309963951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4.5474735088646412E-13</v>
      </c>
      <c r="O100" s="13">
        <f>N100*VLOOKUP('Données projet'!$B$9,Paramètres!$A$1:$I$89,3,0)*VLOOKUP('Données projet'!$B$9,Paramètres!$A$1:$I$89,5,0)</f>
        <v>2.7193891583010558E-13</v>
      </c>
      <c r="P100" s="13">
        <f t="shared" si="87"/>
        <v>3.6362267729089988E-12</v>
      </c>
      <c r="Q100" s="20">
        <f t="shared" si="107"/>
        <v>6.8067219078872727E-12</v>
      </c>
      <c r="R100" s="59">
        <f t="shared" si="55"/>
        <v>293.33333333334014</v>
      </c>
      <c r="S100" s="59">
        <f ca="1">AVERAGE(OFFSET($R$3,0,0,'Données projet'!$E$9+1,1))-AVERAGE(OFFSET($H$3,0,0,'Données projet'!$E$9+1,1))</f>
        <v>252.28378247570731</v>
      </c>
      <c r="T100" s="59">
        <f t="shared" si="88"/>
        <v>263.50418595307343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7.7887439645987158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3.3224364454266086E-9</v>
      </c>
      <c r="AC100" s="22">
        <f t="shared" si="57"/>
        <v>7.7887439679211523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 t="e">
        <f>AI100*VLOOKUP('Données projet'!$B$10,Paramètres!$A$1:$I$89,3,0)*VLOOKUP('Données projet'!$B$10,Paramètres!$A$1:$I$89,5,0)</f>
        <v>#N/A</v>
      </c>
      <c r="AK100" s="13" t="e">
        <f t="shared" si="89"/>
        <v>#N/A</v>
      </c>
      <c r="AL100" s="20" t="e">
        <f t="shared" si="58"/>
        <v>#N/A</v>
      </c>
      <c r="AM100" s="59" t="e">
        <f t="shared" si="59"/>
        <v>#N/A</v>
      </c>
      <c r="AN100" s="59" t="e">
        <f ca="1">AVERAGE(OFFSET($AM$3,0,0,'Données projet'!$E$10+1,1))-AVERAGE(OFFSET($H$3,0,0,'Données projet'!$E$10+1,1))</f>
        <v>#N/A</v>
      </c>
      <c r="AO100" s="59" t="e">
        <f t="shared" si="90"/>
        <v>#N/A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 t="e">
        <f>EXP(-LN(2)/35)*AU99+(1-EXP(-LN(2)/35))/(LN(2)/35)*AQ100*AR100*VLOOKUP('Données projet'!$B$10,Paramètres!$A$1:$I$89,3,0)*0.475*44/12</f>
        <v>#N/A</v>
      </c>
      <c r="AV100" s="21" t="e">
        <f>EXP(-LN(2)/25)*AV99+(1-EXP(-LN(2)/25))/(LN(2)/25)*Calculateur!AQ100*Calculateur!AS100*VLOOKUP('Données projet'!$B$10,Paramètres!$A$1:$I$89,3,0)*0.475*44/12</f>
        <v>#N/A</v>
      </c>
      <c r="AW100" s="21" t="e">
        <f>EXP(-LN(2)/2)*AW99+(1-EXP(-LN(2)/2))/(LN(2)/2)*AQ100*AT100*VLOOKUP('Données projet'!$B$10,Paramètres!$A$1:$I$89,3,0)*0.475*44/12</f>
        <v>#N/A</v>
      </c>
      <c r="AX100" s="21" t="e">
        <f t="shared" si="60"/>
        <v>#N/A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1">
        <f t="shared" si="86"/>
        <v>15.516109807666373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7">
        <f t="shared" si="56"/>
        <v>413.55032458168552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4.5474735088646412E-13</v>
      </c>
      <c r="O101" s="13">
        <f>N101*VLOOKUP('Données projet'!$B$9,Paramètres!$A$1:$I$89,3,0)*VLOOKUP('Données projet'!$B$9,Paramètres!$A$1:$I$89,5,0)</f>
        <v>2.7193891583010558E-13</v>
      </c>
      <c r="P101" s="13">
        <f t="shared" si="87"/>
        <v>3.6362267729089988E-12</v>
      </c>
      <c r="Q101" s="20">
        <f t="shared" si="107"/>
        <v>6.8067219078872727E-12</v>
      </c>
      <c r="R101" s="59">
        <f t="shared" si="55"/>
        <v>293.33333333334014</v>
      </c>
      <c r="S101" s="59">
        <f ca="1">AVERAGE(OFFSET($R$3,0,0,'Données projet'!$E$9+1,1))-AVERAGE(OFFSET($H$3,0,0,'Données projet'!$E$9+1,1))</f>
        <v>252.28378247570731</v>
      </c>
      <c r="T101" s="59">
        <f t="shared" si="88"/>
        <v>263.50418595307343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7.6360114461176645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2.3493173406224837E-9</v>
      </c>
      <c r="AC101" s="22">
        <f t="shared" si="57"/>
        <v>7.6360114484669817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 t="e">
        <f>AI101*VLOOKUP('Données projet'!$B$10,Paramètres!$A$1:$I$89,3,0)*VLOOKUP('Données projet'!$B$10,Paramètres!$A$1:$I$89,5,0)</f>
        <v>#N/A</v>
      </c>
      <c r="AK101" s="13" t="e">
        <f t="shared" si="89"/>
        <v>#N/A</v>
      </c>
      <c r="AL101" s="20" t="e">
        <f t="shared" si="58"/>
        <v>#N/A</v>
      </c>
      <c r="AM101" s="59" t="e">
        <f t="shared" si="59"/>
        <v>#N/A</v>
      </c>
      <c r="AN101" s="59" t="e">
        <f ca="1">AVERAGE(OFFSET($AM$3,0,0,'Données projet'!$E$10+1,1))-AVERAGE(OFFSET($H$3,0,0,'Données projet'!$E$10+1,1))</f>
        <v>#N/A</v>
      </c>
      <c r="AO101" s="59" t="e">
        <f t="shared" si="90"/>
        <v>#N/A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 t="e">
        <f>EXP(-LN(2)/35)*AU100+(1-EXP(-LN(2)/35))/(LN(2)/35)*AQ101*AR101*VLOOKUP('Données projet'!$B$10,Paramètres!$A$1:$I$89,3,0)*0.475*44/12</f>
        <v>#N/A</v>
      </c>
      <c r="AV101" s="21" t="e">
        <f>EXP(-LN(2)/25)*AV100+(1-EXP(-LN(2)/25))/(LN(2)/25)*Calculateur!AQ101*Calculateur!AS101*VLOOKUP('Données projet'!$B$10,Paramètres!$A$1:$I$89,3,0)*0.475*44/12</f>
        <v>#N/A</v>
      </c>
      <c r="AW101" s="21" t="e">
        <f>EXP(-LN(2)/2)*AW100+(1-EXP(-LN(2)/2))/(LN(2)/2)*AQ101*AT101*VLOOKUP('Données projet'!$B$10,Paramètres!$A$1:$I$89,3,0)*0.475*44/12</f>
        <v>#N/A</v>
      </c>
      <c r="AX101" s="21" t="e">
        <f t="shared" si="60"/>
        <v>#N/A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1">
        <f t="shared" si="86"/>
        <v>15.655925351504653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7">
        <f t="shared" si="56"/>
        <v>414.74478665387051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4.5474735088646412E-13</v>
      </c>
      <c r="O102" s="13">
        <f>N102*VLOOKUP('Données projet'!$B$9,Paramètres!$A$1:$I$89,3,0)*VLOOKUP('Données projet'!$B$9,Paramètres!$A$1:$I$89,5,0)</f>
        <v>2.7193891583010558E-13</v>
      </c>
      <c r="P102" s="13">
        <f t="shared" si="87"/>
        <v>3.6362267729089988E-12</v>
      </c>
      <c r="Q102" s="20">
        <f t="shared" si="107"/>
        <v>6.8067219078872727E-12</v>
      </c>
      <c r="R102" s="59">
        <f t="shared" si="55"/>
        <v>293.33333333334014</v>
      </c>
      <c r="S102" s="59">
        <f ca="1">AVERAGE(OFFSET($R$3,0,0,'Données projet'!$E$9+1,1))-AVERAGE(OFFSET($H$3,0,0,'Données projet'!$E$9+1,1))</f>
        <v>252.28378247570731</v>
      </c>
      <c r="T102" s="59">
        <f t="shared" si="88"/>
        <v>263.50418595307343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7.486273919166389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1.6612182227133043E-9</v>
      </c>
      <c r="AC102" s="22">
        <f t="shared" si="57"/>
        <v>7.4862739208276068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 t="e">
        <f>AI102*VLOOKUP('Données projet'!$B$10,Paramètres!$A$1:$I$89,3,0)*VLOOKUP('Données projet'!$B$10,Paramètres!$A$1:$I$89,5,0)</f>
        <v>#N/A</v>
      </c>
      <c r="AK102" s="13" t="e">
        <f t="shared" si="89"/>
        <v>#N/A</v>
      </c>
      <c r="AL102" s="20" t="e">
        <f t="shared" si="58"/>
        <v>#N/A</v>
      </c>
      <c r="AM102" s="59" t="e">
        <f t="shared" si="59"/>
        <v>#N/A</v>
      </c>
      <c r="AN102" s="59" t="e">
        <f ca="1">AVERAGE(OFFSET($AM$3,0,0,'Données projet'!$E$10+1,1))-AVERAGE(OFFSET($H$3,0,0,'Données projet'!$E$10+1,1))</f>
        <v>#N/A</v>
      </c>
      <c r="AO102" s="59" t="e">
        <f t="shared" si="90"/>
        <v>#N/A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 t="e">
        <f>EXP(-LN(2)/35)*AU101+(1-EXP(-LN(2)/35))/(LN(2)/35)*AQ102*AR102*VLOOKUP('Données projet'!$B$10,Paramètres!$A$1:$I$89,3,0)*0.475*44/12</f>
        <v>#N/A</v>
      </c>
      <c r="AV102" s="21" t="e">
        <f>EXP(-LN(2)/25)*AV101+(1-EXP(-LN(2)/25))/(LN(2)/25)*Calculateur!AQ102*Calculateur!AS102*VLOOKUP('Données projet'!$B$10,Paramètres!$A$1:$I$89,3,0)*0.475*44/12</f>
        <v>#N/A</v>
      </c>
      <c r="AW102" s="21" t="e">
        <f>EXP(-LN(2)/2)*AW101+(1-EXP(-LN(2)/2))/(LN(2)/2)*AQ102*AT102*VLOOKUP('Données projet'!$B$10,Paramètres!$A$1:$I$89,3,0)*0.475*44/12</f>
        <v>#N/A</v>
      </c>
      <c r="AX102" s="21" t="e">
        <f t="shared" si="60"/>
        <v>#N/A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1">
        <f t="shared" si="86"/>
        <v>15.795576599806306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7">
        <f t="shared" si="56"/>
        <v>415.93896257799588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4.5474735088646412E-13</v>
      </c>
      <c r="O103" s="13">
        <f>N103*VLOOKUP('Données projet'!$B$9,Paramètres!$A$1:$I$89,3,0)*VLOOKUP('Données projet'!$B$9,Paramètres!$A$1:$I$89,5,0)</f>
        <v>2.7193891583010558E-13</v>
      </c>
      <c r="P103" s="13">
        <f t="shared" si="87"/>
        <v>3.6362267729089988E-12</v>
      </c>
      <c r="Q103" s="20">
        <f t="shared" si="107"/>
        <v>6.8067219078872727E-12</v>
      </c>
      <c r="R103" s="59">
        <f t="shared" si="55"/>
        <v>293.33333333334014</v>
      </c>
      <c r="S103" s="59">
        <f ca="1">AVERAGE(OFFSET($R$3,0,0,'Données projet'!$E$9+1,1))-AVERAGE(OFFSET($H$3,0,0,'Données projet'!$E$9+1,1))</f>
        <v>252.28378247570731</v>
      </c>
      <c r="T103" s="59">
        <f t="shared" si="88"/>
        <v>263.50418595307343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7.3394726537877544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1.1746586703112418E-9</v>
      </c>
      <c r="AC103" s="22">
        <f t="shared" si="57"/>
        <v>7.339472654962413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 t="e">
        <f>AI103*VLOOKUP('Données projet'!$B$10,Paramètres!$A$1:$I$89,3,0)*VLOOKUP('Données projet'!$B$10,Paramètres!$A$1:$I$89,5,0)</f>
        <v>#N/A</v>
      </c>
      <c r="AK103" s="13" t="e">
        <f t="shared" si="89"/>
        <v>#N/A</v>
      </c>
      <c r="AL103" s="20" t="e">
        <f t="shared" si="58"/>
        <v>#N/A</v>
      </c>
      <c r="AM103" s="59" t="e">
        <f t="shared" si="59"/>
        <v>#N/A</v>
      </c>
      <c r="AN103" s="59" t="e">
        <f ca="1">AVERAGE(OFFSET($AM$3,0,0,'Données projet'!$E$10+1,1))-AVERAGE(OFFSET($H$3,0,0,'Données projet'!$E$10+1,1))</f>
        <v>#N/A</v>
      </c>
      <c r="AO103" s="59" t="e">
        <f t="shared" si="90"/>
        <v>#N/A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 t="e">
        <f>EXP(-LN(2)/35)*AU102+(1-EXP(-LN(2)/35))/(LN(2)/35)*AQ103*AR103*VLOOKUP('Données projet'!$B$10,Paramètres!$A$1:$I$89,3,0)*0.475*44/12</f>
        <v>#N/A</v>
      </c>
      <c r="AV103" s="21" t="e">
        <f>EXP(-LN(2)/25)*AV102+(1-EXP(-LN(2)/25))/(LN(2)/25)*Calculateur!AQ103*Calculateur!AS103*VLOOKUP('Données projet'!$B$10,Paramètres!$A$1:$I$89,3,0)*0.475*44/12</f>
        <v>#N/A</v>
      </c>
      <c r="AW103" s="21" t="e">
        <f>EXP(-LN(2)/2)*AW102+(1-EXP(-LN(2)/2))/(LN(2)/2)*AQ103*AT103*VLOOKUP('Données projet'!$B$10,Paramètres!$A$1:$I$89,3,0)*0.475*44/12</f>
        <v>#N/A</v>
      </c>
      <c r="AX103" s="21" t="e">
        <f t="shared" si="60"/>
        <v>#N/A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1">
        <f t="shared" si="86"/>
        <v>15.935065385761003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7">
        <f t="shared" si="56"/>
        <v>417.13285554686695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4.5474735088646412E-13</v>
      </c>
      <c r="O104" s="13">
        <f>N104*VLOOKUP('Données projet'!$B$9,Paramètres!$A$1:$I$89,3,0)*VLOOKUP('Données projet'!$B$9,Paramètres!$A$1:$I$89,5,0)</f>
        <v>2.7193891583010558E-13</v>
      </c>
      <c r="P104" s="13">
        <f t="shared" si="87"/>
        <v>3.6362267729089988E-12</v>
      </c>
      <c r="Q104" s="20">
        <f t="shared" si="107"/>
        <v>6.8067219078872727E-12</v>
      </c>
      <c r="R104" s="59">
        <f t="shared" si="55"/>
        <v>293.33333333334014</v>
      </c>
      <c r="S104" s="59">
        <f ca="1">AVERAGE(OFFSET($R$3,0,0,'Données projet'!$E$9+1,1))-AVERAGE(OFFSET($H$3,0,0,'Données projet'!$E$9+1,1))</f>
        <v>252.28378247570731</v>
      </c>
      <c r="T104" s="59">
        <f t="shared" si="88"/>
        <v>263.50418595307343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7.1955500716832645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8.3060911135665215E-10</v>
      </c>
      <c r="AC104" s="22">
        <f t="shared" si="57"/>
        <v>7.1955500725138739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 t="e">
        <f>AI104*VLOOKUP('Données projet'!$B$10,Paramètres!$A$1:$I$89,3,0)*VLOOKUP('Données projet'!$B$10,Paramètres!$A$1:$I$89,5,0)</f>
        <v>#N/A</v>
      </c>
      <c r="AK104" s="13" t="e">
        <f t="shared" si="89"/>
        <v>#N/A</v>
      </c>
      <c r="AL104" s="20" t="e">
        <f t="shared" si="58"/>
        <v>#N/A</v>
      </c>
      <c r="AM104" s="59" t="e">
        <f t="shared" si="59"/>
        <v>#N/A</v>
      </c>
      <c r="AN104" s="59" t="e">
        <f ca="1">AVERAGE(OFFSET($AM$3,0,0,'Données projet'!$E$10+1,1))-AVERAGE(OFFSET($H$3,0,0,'Données projet'!$E$10+1,1))</f>
        <v>#N/A</v>
      </c>
      <c r="AO104" s="59" t="e">
        <f t="shared" si="90"/>
        <v>#N/A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 t="e">
        <f>EXP(-LN(2)/35)*AU103+(1-EXP(-LN(2)/35))/(LN(2)/35)*AQ104*AR104*VLOOKUP('Données projet'!$B$10,Paramètres!$A$1:$I$89,3,0)*0.475*44/12</f>
        <v>#N/A</v>
      </c>
      <c r="AV104" s="21" t="e">
        <f>EXP(-LN(2)/25)*AV103+(1-EXP(-LN(2)/25))/(LN(2)/25)*Calculateur!AQ104*Calculateur!AS104*VLOOKUP('Données projet'!$B$10,Paramètres!$A$1:$I$89,3,0)*0.475*44/12</f>
        <v>#N/A</v>
      </c>
      <c r="AW104" s="21" t="e">
        <f>EXP(-LN(2)/2)*AW103+(1-EXP(-LN(2)/2))/(LN(2)/2)*AQ104*AT104*VLOOKUP('Données projet'!$B$10,Paramètres!$A$1:$I$89,3,0)*0.475*44/12</f>
        <v>#N/A</v>
      </c>
      <c r="AX104" s="21" t="e">
        <f t="shared" si="60"/>
        <v>#N/A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1">
        <f t="shared" si="86"/>
        <v>16.07439350416519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7">
        <f t="shared" si="56"/>
        <v>418.32646868642092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4.5474735088646412E-13</v>
      </c>
      <c r="O105" s="13">
        <f>N105*VLOOKUP('Données projet'!$B$9,Paramètres!$A$1:$I$89,3,0)*VLOOKUP('Données projet'!$B$9,Paramètres!$A$1:$I$89,5,0)</f>
        <v>2.7193891583010558E-13</v>
      </c>
      <c r="P105" s="13">
        <f t="shared" si="87"/>
        <v>3.6362267729089988E-12</v>
      </c>
      <c r="Q105" s="20">
        <f t="shared" si="107"/>
        <v>6.8067219078872727E-12</v>
      </c>
      <c r="R105" s="59">
        <f t="shared" si="55"/>
        <v>293.33333333334014</v>
      </c>
      <c r="S105" s="59">
        <f ca="1">AVERAGE(OFFSET($R$3,0,0,'Données projet'!$E$9+1,1))-AVERAGE(OFFSET($H$3,0,0,'Données projet'!$E$9+1,1))</f>
        <v>252.28378247570731</v>
      </c>
      <c r="T105" s="59">
        <f t="shared" si="88"/>
        <v>263.50418595307343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7.0544497236297365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5.8732933515562091E-10</v>
      </c>
      <c r="AC105" s="22">
        <f t="shared" si="57"/>
        <v>7.0544497242170658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 t="e">
        <f>AI105*VLOOKUP('Données projet'!$B$10,Paramètres!$A$1:$I$89,3,0)*VLOOKUP('Données projet'!$B$10,Paramètres!$A$1:$I$89,5,0)</f>
        <v>#N/A</v>
      </c>
      <c r="AK105" s="13" t="e">
        <f t="shared" si="89"/>
        <v>#N/A</v>
      </c>
      <c r="AL105" s="20" t="e">
        <f t="shared" si="58"/>
        <v>#N/A</v>
      </c>
      <c r="AM105" s="59" t="e">
        <f t="shared" si="59"/>
        <v>#N/A</v>
      </c>
      <c r="AN105" s="59" t="e">
        <f ca="1">AVERAGE(OFFSET($AM$3,0,0,'Données projet'!$E$10+1,1))-AVERAGE(OFFSET($H$3,0,0,'Données projet'!$E$10+1,1))</f>
        <v>#N/A</v>
      </c>
      <c r="AO105" s="59" t="e">
        <f t="shared" si="90"/>
        <v>#N/A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 t="e">
        <f>EXP(-LN(2)/35)*AU104+(1-EXP(-LN(2)/35))/(LN(2)/35)*AQ105*AR105*VLOOKUP('Données projet'!$B$10,Paramètres!$A$1:$I$89,3,0)*0.475*44/12</f>
        <v>#N/A</v>
      </c>
      <c r="AV105" s="21" t="e">
        <f>EXP(-LN(2)/25)*AV104+(1-EXP(-LN(2)/25))/(LN(2)/25)*Calculateur!AQ105*Calculateur!AS105*VLOOKUP('Données projet'!$B$10,Paramètres!$A$1:$I$89,3,0)*0.475*44/12</f>
        <v>#N/A</v>
      </c>
      <c r="AW105" s="21" t="e">
        <f>EXP(-LN(2)/2)*AW104+(1-EXP(-LN(2)/2))/(LN(2)/2)*AQ105*AT105*VLOOKUP('Données projet'!$B$10,Paramètres!$A$1:$I$89,3,0)*0.475*44/12</f>
        <v>#N/A</v>
      </c>
      <c r="AX105" s="21" t="e">
        <f t="shared" si="60"/>
        <v>#N/A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1">
        <f t="shared" si="86"/>
        <v>16.213562712594495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7">
        <f t="shared" si="56"/>
        <v>419.51980505776862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4.5474735088646412E-13</v>
      </c>
      <c r="O106" s="13">
        <f>N106*VLOOKUP('Données projet'!$B$9,Paramètres!$A$1:$I$89,3,0)*VLOOKUP('Données projet'!$B$9,Paramètres!$A$1:$I$89,5,0)</f>
        <v>2.7193891583010558E-13</v>
      </c>
      <c r="P106" s="13">
        <f t="shared" si="87"/>
        <v>3.6362267729089988E-12</v>
      </c>
      <c r="Q106" s="20">
        <f t="shared" si="107"/>
        <v>6.8067219078872727E-12</v>
      </c>
      <c r="R106" s="59">
        <f t="shared" si="55"/>
        <v>293.33333333334014</v>
      </c>
      <c r="S106" s="59">
        <f ca="1">AVERAGE(OFFSET($R$3,0,0,'Données projet'!$E$9+1,1))-AVERAGE(OFFSET($H$3,0,0,'Données projet'!$E$9+1,1))</f>
        <v>252.28378247570731</v>
      </c>
      <c r="T106" s="59">
        <f t="shared" si="88"/>
        <v>263.50418595307343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6.9161162673388237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4.1530455567832608E-10</v>
      </c>
      <c r="AC106" s="22">
        <f t="shared" si="57"/>
        <v>6.9161162677541279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 t="e">
        <f>AI106*VLOOKUP('Données projet'!$B$10,Paramètres!$A$1:$I$89,3,0)*VLOOKUP('Données projet'!$B$10,Paramètres!$A$1:$I$89,5,0)</f>
        <v>#N/A</v>
      </c>
      <c r="AK106" s="13" t="e">
        <f t="shared" si="89"/>
        <v>#N/A</v>
      </c>
      <c r="AL106" s="20" t="e">
        <f t="shared" si="58"/>
        <v>#N/A</v>
      </c>
      <c r="AM106" s="59" t="e">
        <f t="shared" si="59"/>
        <v>#N/A</v>
      </c>
      <c r="AN106" s="59" t="e">
        <f ca="1">AVERAGE(OFFSET($AM$3,0,0,'Données projet'!$E$10+1,1))-AVERAGE(OFFSET($H$3,0,0,'Données projet'!$E$10+1,1))</f>
        <v>#N/A</v>
      </c>
      <c r="AO106" s="59" t="e">
        <f t="shared" si="90"/>
        <v>#N/A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 t="e">
        <f>EXP(-LN(2)/35)*AU105+(1-EXP(-LN(2)/35))/(LN(2)/35)*AQ106*AR106*VLOOKUP('Données projet'!$B$10,Paramètres!$A$1:$I$89,3,0)*0.475*44/12</f>
        <v>#N/A</v>
      </c>
      <c r="AV106" s="21" t="e">
        <f>EXP(-LN(2)/25)*AV105+(1-EXP(-LN(2)/25))/(LN(2)/25)*Calculateur!AQ106*Calculateur!AS106*VLOOKUP('Données projet'!$B$10,Paramètres!$A$1:$I$89,3,0)*0.475*44/12</f>
        <v>#N/A</v>
      </c>
      <c r="AW106" s="21" t="e">
        <f>EXP(-LN(2)/2)*AW105+(1-EXP(-LN(2)/2))/(LN(2)/2)*AQ106*AT106*VLOOKUP('Données projet'!$B$10,Paramètres!$A$1:$I$89,3,0)*0.475*44/12</f>
        <v>#N/A</v>
      </c>
      <c r="AX106" s="21" t="e">
        <f t="shared" si="60"/>
        <v>#N/A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1">
        <f t="shared" si="86"/>
        <v>16.352574732529348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7">
        <f t="shared" si="56"/>
        <v>420.71286765915517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4.5474735088646412E-13</v>
      </c>
      <c r="O107" s="13">
        <f>N107*VLOOKUP('Données projet'!$B$9,Paramètres!$A$1:$I$89,3,0)*VLOOKUP('Données projet'!$B$9,Paramètres!$A$1:$I$89,5,0)</f>
        <v>2.7193891583010558E-13</v>
      </c>
      <c r="P107" s="13">
        <f t="shared" si="87"/>
        <v>3.6362267729089988E-12</v>
      </c>
      <c r="Q107" s="20">
        <f t="shared" si="107"/>
        <v>6.8067219078872727E-12</v>
      </c>
      <c r="R107" s="59">
        <f t="shared" si="55"/>
        <v>293.33333333334014</v>
      </c>
      <c r="S107" s="59">
        <f ca="1">AVERAGE(OFFSET($R$3,0,0,'Données projet'!$E$9+1,1))-AVERAGE(OFFSET($H$3,0,0,'Données projet'!$E$9+1,1))</f>
        <v>252.28378247570731</v>
      </c>
      <c r="T107" s="59">
        <f t="shared" si="88"/>
        <v>263.50418595307343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6.7804954457506987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2.9366466757781046E-10</v>
      </c>
      <c r="AC107" s="22">
        <f t="shared" si="57"/>
        <v>6.7804954460443634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 t="e">
        <f>AI107*VLOOKUP('Données projet'!$B$10,Paramètres!$A$1:$I$89,3,0)*VLOOKUP('Données projet'!$B$10,Paramètres!$A$1:$I$89,5,0)</f>
        <v>#N/A</v>
      </c>
      <c r="AK107" s="13" t="e">
        <f t="shared" si="89"/>
        <v>#N/A</v>
      </c>
      <c r="AL107" s="20" t="e">
        <f t="shared" si="58"/>
        <v>#N/A</v>
      </c>
      <c r="AM107" s="59" t="e">
        <f t="shared" si="59"/>
        <v>#N/A</v>
      </c>
      <c r="AN107" s="59" t="e">
        <f ca="1">AVERAGE(OFFSET($AM$3,0,0,'Données projet'!$E$10+1,1))-AVERAGE(OFFSET($H$3,0,0,'Données projet'!$E$10+1,1))</f>
        <v>#N/A</v>
      </c>
      <c r="AO107" s="59" t="e">
        <f t="shared" si="90"/>
        <v>#N/A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 t="e">
        <f>EXP(-LN(2)/35)*AU106+(1-EXP(-LN(2)/35))/(LN(2)/35)*AQ107*AR107*VLOOKUP('Données projet'!$B$10,Paramètres!$A$1:$I$89,3,0)*0.475*44/12</f>
        <v>#N/A</v>
      </c>
      <c r="AV107" s="21" t="e">
        <f>EXP(-LN(2)/25)*AV106+(1-EXP(-LN(2)/25))/(LN(2)/25)*Calculateur!AQ107*Calculateur!AS107*VLOOKUP('Données projet'!$B$10,Paramètres!$A$1:$I$89,3,0)*0.475*44/12</f>
        <v>#N/A</v>
      </c>
      <c r="AW107" s="21" t="e">
        <f>EXP(-LN(2)/2)*AW106+(1-EXP(-LN(2)/2))/(LN(2)/2)*AQ107*AT107*VLOOKUP('Données projet'!$B$10,Paramètres!$A$1:$I$89,3,0)*0.475*44/12</f>
        <v>#N/A</v>
      </c>
      <c r="AX107" s="21" t="e">
        <f t="shared" si="60"/>
        <v>#N/A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1">
        <f t="shared" si="86"/>
        <v>16.491431250436072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7">
        <f t="shared" si="56"/>
        <v>421.90565942784269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4.5474735088646412E-13</v>
      </c>
      <c r="O108" s="13">
        <f>N108*VLOOKUP('Données projet'!$B$9,Paramètres!$A$1:$I$89,3,0)*VLOOKUP('Données projet'!$B$9,Paramètres!$A$1:$I$89,5,0)</f>
        <v>2.7193891583010558E-13</v>
      </c>
      <c r="P108" s="13">
        <f t="shared" si="87"/>
        <v>3.6362267729089988E-12</v>
      </c>
      <c r="Q108" s="20">
        <f t="shared" si="107"/>
        <v>6.8067219078872727E-12</v>
      </c>
      <c r="R108" s="59">
        <f t="shared" si="55"/>
        <v>293.33333333334014</v>
      </c>
      <c r="S108" s="59">
        <f ca="1">AVERAGE(OFFSET($R$3,0,0,'Données projet'!$E$9+1,1))-AVERAGE(OFFSET($H$3,0,0,'Données projet'!$E$9+1,1))</f>
        <v>252.28378247570731</v>
      </c>
      <c r="T108" s="59">
        <f t="shared" si="88"/>
        <v>263.50418595307343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6.6475340657533835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2.0765227783916304E-10</v>
      </c>
      <c r="AC108" s="22">
        <f t="shared" si="57"/>
        <v>6.647534065961036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 t="e">
        <f>AI108*VLOOKUP('Données projet'!$B$10,Paramètres!$A$1:$I$89,3,0)*VLOOKUP('Données projet'!$B$10,Paramètres!$A$1:$I$89,5,0)</f>
        <v>#N/A</v>
      </c>
      <c r="AK108" s="13" t="e">
        <f t="shared" si="89"/>
        <v>#N/A</v>
      </c>
      <c r="AL108" s="20" t="e">
        <f t="shared" si="58"/>
        <v>#N/A</v>
      </c>
      <c r="AM108" s="59" t="e">
        <f t="shared" si="59"/>
        <v>#N/A</v>
      </c>
      <c r="AN108" s="59" t="e">
        <f ca="1">AVERAGE(OFFSET($AM$3,0,0,'Données projet'!$E$10+1,1))-AVERAGE(OFFSET($H$3,0,0,'Données projet'!$E$10+1,1))</f>
        <v>#N/A</v>
      </c>
      <c r="AO108" s="59" t="e">
        <f t="shared" si="90"/>
        <v>#N/A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 t="e">
        <f>EXP(-LN(2)/35)*AU107+(1-EXP(-LN(2)/35))/(LN(2)/35)*AQ108*AR108*VLOOKUP('Données projet'!$B$10,Paramètres!$A$1:$I$89,3,0)*0.475*44/12</f>
        <v>#N/A</v>
      </c>
      <c r="AV108" s="21" t="e">
        <f>EXP(-LN(2)/25)*AV107+(1-EXP(-LN(2)/25))/(LN(2)/25)*Calculateur!AQ108*Calculateur!AS108*VLOOKUP('Données projet'!$B$10,Paramètres!$A$1:$I$89,3,0)*0.475*44/12</f>
        <v>#N/A</v>
      </c>
      <c r="AW108" s="21" t="e">
        <f>EXP(-LN(2)/2)*AW107+(1-EXP(-LN(2)/2))/(LN(2)/2)*AQ108*AT108*VLOOKUP('Données projet'!$B$10,Paramètres!$A$1:$I$89,3,0)*0.475*44/12</f>
        <v>#N/A</v>
      </c>
      <c r="AX108" s="21" t="e">
        <f t="shared" si="60"/>
        <v>#N/A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1">
        <f t="shared" si="86"/>
        <v>16.630133918805559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7">
        <f t="shared" si="56"/>
        <v>423.09818324191957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4.5474735088646412E-13</v>
      </c>
      <c r="O109" s="13">
        <f>N109*VLOOKUP('Données projet'!$B$9,Paramètres!$A$1:$I$89,3,0)*VLOOKUP('Données projet'!$B$9,Paramètres!$A$1:$I$89,5,0)</f>
        <v>2.7193891583010558E-13</v>
      </c>
      <c r="P109" s="13">
        <f t="shared" si="87"/>
        <v>3.6362267729089988E-12</v>
      </c>
      <c r="Q109" s="20">
        <f t="shared" si="107"/>
        <v>6.8067219078872727E-12</v>
      </c>
      <c r="R109" s="59">
        <f t="shared" si="55"/>
        <v>293.33333333334014</v>
      </c>
      <c r="S109" s="59">
        <f ca="1">AVERAGE(OFFSET($R$3,0,0,'Données projet'!$E$9+1,1))-AVERAGE(OFFSET($H$3,0,0,'Données projet'!$E$9+1,1))</f>
        <v>252.28378247570731</v>
      </c>
      <c r="T109" s="59">
        <f t="shared" si="88"/>
        <v>263.50418595307343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6.5171799773193815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1.4683233378890523E-10</v>
      </c>
      <c r="AC109" s="22">
        <f t="shared" si="57"/>
        <v>6.5171799774662142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 t="e">
        <f>AI109*VLOOKUP('Données projet'!$B$10,Paramètres!$A$1:$I$89,3,0)*VLOOKUP('Données projet'!$B$10,Paramètres!$A$1:$I$89,5,0)</f>
        <v>#N/A</v>
      </c>
      <c r="AK109" s="13" t="e">
        <f t="shared" si="89"/>
        <v>#N/A</v>
      </c>
      <c r="AL109" s="20" t="e">
        <f t="shared" si="58"/>
        <v>#N/A</v>
      </c>
      <c r="AM109" s="59" t="e">
        <f t="shared" si="59"/>
        <v>#N/A</v>
      </c>
      <c r="AN109" s="59" t="e">
        <f ca="1">AVERAGE(OFFSET($AM$3,0,0,'Données projet'!$E$10+1,1))-AVERAGE(OFFSET($H$3,0,0,'Données projet'!$E$10+1,1))</f>
        <v>#N/A</v>
      </c>
      <c r="AO109" s="59" t="e">
        <f t="shared" si="90"/>
        <v>#N/A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 t="e">
        <f>EXP(-LN(2)/35)*AU108+(1-EXP(-LN(2)/35))/(LN(2)/35)*AQ109*AR109*VLOOKUP('Données projet'!$B$10,Paramètres!$A$1:$I$89,3,0)*0.475*44/12</f>
        <v>#N/A</v>
      </c>
      <c r="AV109" s="21" t="e">
        <f>EXP(-LN(2)/25)*AV108+(1-EXP(-LN(2)/25))/(LN(2)/25)*Calculateur!AQ109*Calculateur!AS109*VLOOKUP('Données projet'!$B$10,Paramètres!$A$1:$I$89,3,0)*0.475*44/12</f>
        <v>#N/A</v>
      </c>
      <c r="AW109" s="21" t="e">
        <f>EXP(-LN(2)/2)*AW108+(1-EXP(-LN(2)/2))/(LN(2)/2)*AQ109*AT109*VLOOKUP('Données projet'!$B$10,Paramètres!$A$1:$I$89,3,0)*0.475*44/12</f>
        <v>#N/A</v>
      </c>
      <c r="AX109" s="21" t="e">
        <f t="shared" si="60"/>
        <v>#N/A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1">
        <f t="shared" si="86"/>
        <v>16.768684357151628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7">
        <f t="shared" si="56"/>
        <v>424.29044192203901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4.5474735088646412E-13</v>
      </c>
      <c r="O110" s="13">
        <f>N110*VLOOKUP('Données projet'!$B$9,Paramètres!$A$1:$I$89,3,0)*VLOOKUP('Données projet'!$B$9,Paramètres!$A$1:$I$89,5,0)</f>
        <v>2.7193891583010558E-13</v>
      </c>
      <c r="P110" s="13">
        <f t="shared" si="87"/>
        <v>3.6362267729089988E-12</v>
      </c>
      <c r="Q110" s="20">
        <f t="shared" si="107"/>
        <v>6.8067219078872727E-12</v>
      </c>
      <c r="R110" s="59">
        <f t="shared" si="55"/>
        <v>293.33333333334014</v>
      </c>
      <c r="S110" s="59">
        <f ca="1">AVERAGE(OFFSET($R$3,0,0,'Données projet'!$E$9+1,1))-AVERAGE(OFFSET($H$3,0,0,'Données projet'!$E$9+1,1))</f>
        <v>252.28378247570731</v>
      </c>
      <c r="T110" s="59">
        <f t="shared" si="88"/>
        <v>263.50418595307343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6.3893820530514276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1.0382613891958152E-10</v>
      </c>
      <c r="AC110" s="22">
        <f t="shared" si="57"/>
        <v>6.3893820531552539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 t="e">
        <f>AI110*VLOOKUP('Données projet'!$B$10,Paramètres!$A$1:$I$89,3,0)*VLOOKUP('Données projet'!$B$10,Paramètres!$A$1:$I$89,5,0)</f>
        <v>#N/A</v>
      </c>
      <c r="AK110" s="13" t="e">
        <f t="shared" si="89"/>
        <v>#N/A</v>
      </c>
      <c r="AL110" s="20" t="e">
        <f t="shared" si="58"/>
        <v>#N/A</v>
      </c>
      <c r="AM110" s="59" t="e">
        <f t="shared" si="59"/>
        <v>#N/A</v>
      </c>
      <c r="AN110" s="59" t="e">
        <f ca="1">AVERAGE(OFFSET($AM$3,0,0,'Données projet'!$E$10+1,1))-AVERAGE(OFFSET($H$3,0,0,'Données projet'!$E$10+1,1))</f>
        <v>#N/A</v>
      </c>
      <c r="AO110" s="59" t="e">
        <f t="shared" si="90"/>
        <v>#N/A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 t="e">
        <f>EXP(-LN(2)/35)*AU109+(1-EXP(-LN(2)/35))/(LN(2)/35)*AQ110*AR110*VLOOKUP('Données projet'!$B$10,Paramètres!$A$1:$I$89,3,0)*0.475*44/12</f>
        <v>#N/A</v>
      </c>
      <c r="AV110" s="21" t="e">
        <f>EXP(-LN(2)/25)*AV109+(1-EXP(-LN(2)/25))/(LN(2)/25)*Calculateur!AQ110*Calculateur!AS110*VLOOKUP('Données projet'!$B$10,Paramètres!$A$1:$I$89,3,0)*0.475*44/12</f>
        <v>#N/A</v>
      </c>
      <c r="AW110" s="21" t="e">
        <f>EXP(-LN(2)/2)*AW109+(1-EXP(-LN(2)/2))/(LN(2)/2)*AQ110*AT110*VLOOKUP('Données projet'!$B$10,Paramètres!$A$1:$I$89,3,0)*0.475*44/12</f>
        <v>#N/A</v>
      </c>
      <c r="AX110" s="21" t="e">
        <f t="shared" si="60"/>
        <v>#N/A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1">
        <f t="shared" si="86"/>
        <v>16.907084152971102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7">
        <f t="shared" si="56"/>
        <v>425.48243823309122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4.5474735088646412E-13</v>
      </c>
      <c r="O111" s="13">
        <f>N111*VLOOKUP('Données projet'!$B$9,Paramètres!$A$1:$I$89,3,0)*VLOOKUP('Données projet'!$B$9,Paramètres!$A$1:$I$89,5,0)</f>
        <v>2.7193891583010558E-13</v>
      </c>
      <c r="P111" s="13">
        <f t="shared" si="87"/>
        <v>3.6362267729089988E-12</v>
      </c>
      <c r="Q111" s="20">
        <f t="shared" si="107"/>
        <v>6.8067219078872727E-12</v>
      </c>
      <c r="R111" s="59">
        <f t="shared" si="55"/>
        <v>293.33333333334014</v>
      </c>
      <c r="S111" s="59">
        <f ca="1">AVERAGE(OFFSET($R$3,0,0,'Données projet'!$E$9+1,1))-AVERAGE(OFFSET($H$3,0,0,'Données projet'!$E$9+1,1))</f>
        <v>252.28378247570731</v>
      </c>
      <c r="T111" s="59">
        <f t="shared" si="88"/>
        <v>263.50418595307343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6.2640901681293313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7.3416166894452614E-11</v>
      </c>
      <c r="AC111" s="22">
        <f t="shared" si="57"/>
        <v>6.2640901682027472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 t="e">
        <f>AI111*VLOOKUP('Données projet'!$B$10,Paramètres!$A$1:$I$89,3,0)*VLOOKUP('Données projet'!$B$10,Paramètres!$A$1:$I$89,5,0)</f>
        <v>#N/A</v>
      </c>
      <c r="AK111" s="13" t="e">
        <f t="shared" si="89"/>
        <v>#N/A</v>
      </c>
      <c r="AL111" s="20" t="e">
        <f t="shared" si="58"/>
        <v>#N/A</v>
      </c>
      <c r="AM111" s="59" t="e">
        <f t="shared" si="59"/>
        <v>#N/A</v>
      </c>
      <c r="AN111" s="59" t="e">
        <f ca="1">AVERAGE(OFFSET($AM$3,0,0,'Données projet'!$E$10+1,1))-AVERAGE(OFFSET($H$3,0,0,'Données projet'!$E$10+1,1))</f>
        <v>#N/A</v>
      </c>
      <c r="AO111" s="59" t="e">
        <f t="shared" si="90"/>
        <v>#N/A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 t="e">
        <f>EXP(-LN(2)/35)*AU110+(1-EXP(-LN(2)/35))/(LN(2)/35)*AQ111*AR111*VLOOKUP('Données projet'!$B$10,Paramètres!$A$1:$I$89,3,0)*0.475*44/12</f>
        <v>#N/A</v>
      </c>
      <c r="AV111" s="21" t="e">
        <f>EXP(-LN(2)/25)*AV110+(1-EXP(-LN(2)/25))/(LN(2)/25)*Calculateur!AQ111*Calculateur!AS111*VLOOKUP('Données projet'!$B$10,Paramètres!$A$1:$I$89,3,0)*0.475*44/12</f>
        <v>#N/A</v>
      </c>
      <c r="AW111" s="21" t="e">
        <f>EXP(-LN(2)/2)*AW110+(1-EXP(-LN(2)/2))/(LN(2)/2)*AQ111*AT111*VLOOKUP('Données projet'!$B$10,Paramètres!$A$1:$I$89,3,0)*0.475*44/12</f>
        <v>#N/A</v>
      </c>
      <c r="AX111" s="21" t="e">
        <f t="shared" si="60"/>
        <v>#N/A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1">
        <f t="shared" si="86"/>
        <v>17.045334862667175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7">
        <f t="shared" si="56"/>
        <v>426.67417488581191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4.5474735088646412E-13</v>
      </c>
      <c r="O112" s="13">
        <f>N112*VLOOKUP('Données projet'!$B$9,Paramètres!$A$1:$I$89,3,0)*VLOOKUP('Données projet'!$B$9,Paramètres!$A$1:$I$89,5,0)</f>
        <v>2.7193891583010558E-13</v>
      </c>
      <c r="P112" s="13">
        <f t="shared" si="87"/>
        <v>3.6362267729089988E-12</v>
      </c>
      <c r="Q112" s="20">
        <f t="shared" si="107"/>
        <v>6.8067219078872727E-12</v>
      </c>
      <c r="R112" s="59">
        <f t="shared" si="55"/>
        <v>293.33333333334014</v>
      </c>
      <c r="S112" s="59">
        <f ca="1">AVERAGE(OFFSET($R$3,0,0,'Données projet'!$E$9+1,1))-AVERAGE(OFFSET($H$3,0,0,'Données projet'!$E$9+1,1))</f>
        <v>252.28378247570731</v>
      </c>
      <c r="T112" s="59">
        <f t="shared" si="88"/>
        <v>263.50418595307343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6.1412551806500533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5.191306945979076E-11</v>
      </c>
      <c r="AC112" s="22">
        <f t="shared" si="57"/>
        <v>6.1412551807019664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 t="e">
        <f>AI112*VLOOKUP('Données projet'!$B$10,Paramètres!$A$1:$I$89,3,0)*VLOOKUP('Données projet'!$B$10,Paramètres!$A$1:$I$89,5,0)</f>
        <v>#N/A</v>
      </c>
      <c r="AK112" s="13" t="e">
        <f t="shared" si="89"/>
        <v>#N/A</v>
      </c>
      <c r="AL112" s="20" t="e">
        <f t="shared" si="58"/>
        <v>#N/A</v>
      </c>
      <c r="AM112" s="59" t="e">
        <f t="shared" si="59"/>
        <v>#N/A</v>
      </c>
      <c r="AN112" s="59" t="e">
        <f ca="1">AVERAGE(OFFSET($AM$3,0,0,'Données projet'!$E$10+1,1))-AVERAGE(OFFSET($H$3,0,0,'Données projet'!$E$10+1,1))</f>
        <v>#N/A</v>
      </c>
      <c r="AO112" s="59" t="e">
        <f t="shared" si="90"/>
        <v>#N/A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 t="e">
        <f>EXP(-LN(2)/35)*AU111+(1-EXP(-LN(2)/35))/(LN(2)/35)*AQ112*AR112*VLOOKUP('Données projet'!$B$10,Paramètres!$A$1:$I$89,3,0)*0.475*44/12</f>
        <v>#N/A</v>
      </c>
      <c r="AV112" s="21" t="e">
        <f>EXP(-LN(2)/25)*AV111+(1-EXP(-LN(2)/25))/(LN(2)/25)*Calculateur!AQ112*Calculateur!AS112*VLOOKUP('Données projet'!$B$10,Paramètres!$A$1:$I$89,3,0)*0.475*44/12</f>
        <v>#N/A</v>
      </c>
      <c r="AW112" s="21" t="e">
        <f>EXP(-LN(2)/2)*AW111+(1-EXP(-LN(2)/2))/(LN(2)/2)*AQ112*AT112*VLOOKUP('Données projet'!$B$10,Paramètres!$A$1:$I$89,3,0)*0.475*44/12</f>
        <v>#N/A</v>
      </c>
      <c r="AX112" s="21" t="e">
        <f t="shared" si="60"/>
        <v>#N/A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1">
        <f t="shared" si="86"/>
        <v>17.183438012437954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7">
        <f t="shared" si="56"/>
        <v>427.8656545383293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4.5474735088646412E-13</v>
      </c>
      <c r="O113" s="13">
        <f>N113*VLOOKUP('Données projet'!$B$9,Paramètres!$A$1:$I$89,3,0)*VLOOKUP('Données projet'!$B$9,Paramètres!$A$1:$I$89,5,0)</f>
        <v>2.7193891583010558E-13</v>
      </c>
      <c r="P113" s="13">
        <f t="shared" si="87"/>
        <v>3.6362267729089988E-12</v>
      </c>
      <c r="Q113" s="20">
        <f t="shared" si="107"/>
        <v>6.8067219078872727E-12</v>
      </c>
      <c r="R113" s="59">
        <f t="shared" si="55"/>
        <v>293.33333333334014</v>
      </c>
      <c r="S113" s="59">
        <f ca="1">AVERAGE(OFFSET($R$3,0,0,'Données projet'!$E$9+1,1))-AVERAGE(OFFSET($H$3,0,0,'Données projet'!$E$9+1,1))</f>
        <v>252.28378247570731</v>
      </c>
      <c r="T113" s="59">
        <f t="shared" si="88"/>
        <v>263.50418595307343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6.0208289123532994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3.6708083447226307E-11</v>
      </c>
      <c r="AC113" s="22">
        <f t="shared" si="57"/>
        <v>6.0208289123900078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 t="e">
        <f>AI113*VLOOKUP('Données projet'!$B$10,Paramètres!$A$1:$I$89,3,0)*VLOOKUP('Données projet'!$B$10,Paramètres!$A$1:$I$89,5,0)</f>
        <v>#N/A</v>
      </c>
      <c r="AK113" s="13" t="e">
        <f t="shared" si="89"/>
        <v>#N/A</v>
      </c>
      <c r="AL113" s="20" t="e">
        <f t="shared" si="58"/>
        <v>#N/A</v>
      </c>
      <c r="AM113" s="59" t="e">
        <f t="shared" si="59"/>
        <v>#N/A</v>
      </c>
      <c r="AN113" s="59" t="e">
        <f ca="1">AVERAGE(OFFSET($AM$3,0,0,'Données projet'!$E$10+1,1))-AVERAGE(OFFSET($H$3,0,0,'Données projet'!$E$10+1,1))</f>
        <v>#N/A</v>
      </c>
      <c r="AO113" s="59" t="e">
        <f t="shared" si="90"/>
        <v>#N/A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 t="e">
        <f>EXP(-LN(2)/35)*AU112+(1-EXP(-LN(2)/35))/(LN(2)/35)*AQ113*AR113*VLOOKUP('Données projet'!$B$10,Paramètres!$A$1:$I$89,3,0)*0.475*44/12</f>
        <v>#N/A</v>
      </c>
      <c r="AV113" s="21" t="e">
        <f>EXP(-LN(2)/25)*AV112+(1-EXP(-LN(2)/25))/(LN(2)/25)*Calculateur!AQ113*Calculateur!AS113*VLOOKUP('Données projet'!$B$10,Paramètres!$A$1:$I$89,3,0)*0.475*44/12</f>
        <v>#N/A</v>
      </c>
      <c r="AW113" s="21" t="e">
        <f>EXP(-LN(2)/2)*AW112+(1-EXP(-LN(2)/2))/(LN(2)/2)*AQ113*AT113*VLOOKUP('Données projet'!$B$10,Paramètres!$A$1:$I$89,3,0)*0.475*44/12</f>
        <v>#N/A</v>
      </c>
      <c r="AX113" s="21" t="e">
        <f t="shared" si="60"/>
        <v>#N/A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1">
        <f t="shared" si="86"/>
        <v>17.32139509913188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7">
        <f t="shared" si="56"/>
        <v>429.05687979765457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4.5474735088646412E-13</v>
      </c>
      <c r="O114" s="13">
        <f>N114*VLOOKUP('Données projet'!$B$9,Paramètres!$A$1:$I$89,3,0)*VLOOKUP('Données projet'!$B$9,Paramètres!$A$1:$I$89,5,0)</f>
        <v>2.7193891583010558E-13</v>
      </c>
      <c r="P114" s="13">
        <f t="shared" si="87"/>
        <v>3.6362267729089988E-12</v>
      </c>
      <c r="Q114" s="20">
        <f t="shared" si="107"/>
        <v>6.8067219078872727E-12</v>
      </c>
      <c r="R114" s="59">
        <f t="shared" si="55"/>
        <v>293.33333333334014</v>
      </c>
      <c r="S114" s="59">
        <f ca="1">AVERAGE(OFFSET($R$3,0,0,'Données projet'!$E$9+1,1))-AVERAGE(OFFSET($H$3,0,0,'Données projet'!$E$9+1,1))</f>
        <v>252.28378247570731</v>
      </c>
      <c r="T114" s="59">
        <f t="shared" si="88"/>
        <v>263.50418595307343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5.9027641297250737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2.595653472989538E-11</v>
      </c>
      <c r="AC114" s="22">
        <f t="shared" si="57"/>
        <v>5.9027641297510298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 t="e">
        <f>AI114*VLOOKUP('Données projet'!$B$10,Paramètres!$A$1:$I$89,3,0)*VLOOKUP('Données projet'!$B$10,Paramètres!$A$1:$I$89,5,0)</f>
        <v>#N/A</v>
      </c>
      <c r="AK114" s="13" t="e">
        <f t="shared" si="89"/>
        <v>#N/A</v>
      </c>
      <c r="AL114" s="20" t="e">
        <f t="shared" si="58"/>
        <v>#N/A</v>
      </c>
      <c r="AM114" s="59" t="e">
        <f t="shared" si="59"/>
        <v>#N/A</v>
      </c>
      <c r="AN114" s="59" t="e">
        <f ca="1">AVERAGE(OFFSET($AM$3,0,0,'Données projet'!$E$10+1,1))-AVERAGE(OFFSET($H$3,0,0,'Données projet'!$E$10+1,1))</f>
        <v>#N/A</v>
      </c>
      <c r="AO114" s="59" t="e">
        <f t="shared" si="90"/>
        <v>#N/A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 t="e">
        <f>EXP(-LN(2)/35)*AU113+(1-EXP(-LN(2)/35))/(LN(2)/35)*AQ114*AR114*VLOOKUP('Données projet'!$B$10,Paramètres!$A$1:$I$89,3,0)*0.475*44/12</f>
        <v>#N/A</v>
      </c>
      <c r="AV114" s="21" t="e">
        <f>EXP(-LN(2)/25)*AV113+(1-EXP(-LN(2)/25))/(LN(2)/25)*Calculateur!AQ114*Calculateur!AS114*VLOOKUP('Données projet'!$B$10,Paramètres!$A$1:$I$89,3,0)*0.475*44/12</f>
        <v>#N/A</v>
      </c>
      <c r="AW114" s="21" t="e">
        <f>EXP(-LN(2)/2)*AW113+(1-EXP(-LN(2)/2))/(LN(2)/2)*AQ114*AT114*VLOOKUP('Données projet'!$B$10,Paramètres!$A$1:$I$89,3,0)*0.475*44/12</f>
        <v>#N/A</v>
      </c>
      <c r="AX114" s="21" t="e">
        <f t="shared" si="60"/>
        <v>#N/A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1">
        <f t="shared" si="86"/>
        <v>17.459207591071241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7">
        <f t="shared" si="56"/>
        <v>430.24785322111563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4.5474735088646412E-13</v>
      </c>
      <c r="O115" s="13">
        <f>N115*VLOOKUP('Données projet'!$B$9,Paramètres!$A$1:$I$89,3,0)*VLOOKUP('Données projet'!$B$9,Paramètres!$A$1:$I$89,5,0)</f>
        <v>2.7193891583010558E-13</v>
      </c>
      <c r="P115" s="13">
        <f t="shared" si="87"/>
        <v>3.6362267729089988E-12</v>
      </c>
      <c r="Q115" s="20">
        <f t="shared" si="107"/>
        <v>6.8067219078872727E-12</v>
      </c>
      <c r="R115" s="59">
        <f t="shared" si="55"/>
        <v>293.33333333334014</v>
      </c>
      <c r="S115" s="59">
        <f ca="1">AVERAGE(OFFSET($R$3,0,0,'Données projet'!$E$9+1,1))-AVERAGE(OFFSET($H$3,0,0,'Données projet'!$E$9+1,1))</f>
        <v>252.28378247570731</v>
      </c>
      <c r="T115" s="59">
        <f t="shared" si="88"/>
        <v>263.50418595307343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5.7870145254717809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1.8354041723613154E-11</v>
      </c>
      <c r="AC115" s="22">
        <f t="shared" si="57"/>
        <v>5.7870145254901351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 t="e">
        <f>AI115*VLOOKUP('Données projet'!$B$10,Paramètres!$A$1:$I$89,3,0)*VLOOKUP('Données projet'!$B$10,Paramètres!$A$1:$I$89,5,0)</f>
        <v>#N/A</v>
      </c>
      <c r="AK115" s="13" t="e">
        <f t="shared" si="89"/>
        <v>#N/A</v>
      </c>
      <c r="AL115" s="20" t="e">
        <f t="shared" si="58"/>
        <v>#N/A</v>
      </c>
      <c r="AM115" s="59" t="e">
        <f t="shared" si="59"/>
        <v>#N/A</v>
      </c>
      <c r="AN115" s="59" t="e">
        <f ca="1">AVERAGE(OFFSET($AM$3,0,0,'Données projet'!$E$10+1,1))-AVERAGE(OFFSET($H$3,0,0,'Données projet'!$E$10+1,1))</f>
        <v>#N/A</v>
      </c>
      <c r="AO115" s="59" t="e">
        <f t="shared" si="90"/>
        <v>#N/A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 t="e">
        <f>EXP(-LN(2)/35)*AU114+(1-EXP(-LN(2)/35))/(LN(2)/35)*AQ115*AR115*VLOOKUP('Données projet'!$B$10,Paramètres!$A$1:$I$89,3,0)*0.475*44/12</f>
        <v>#N/A</v>
      </c>
      <c r="AV115" s="21" t="e">
        <f>EXP(-LN(2)/25)*AV114+(1-EXP(-LN(2)/25))/(LN(2)/25)*Calculateur!AQ115*Calculateur!AS115*VLOOKUP('Données projet'!$B$10,Paramètres!$A$1:$I$89,3,0)*0.475*44/12</f>
        <v>#N/A</v>
      </c>
      <c r="AW115" s="21" t="e">
        <f>EXP(-LN(2)/2)*AW114+(1-EXP(-LN(2)/2))/(LN(2)/2)*AQ115*AT115*VLOOKUP('Données projet'!$B$10,Paramètres!$A$1:$I$89,3,0)*0.475*44/12</f>
        <v>#N/A</v>
      </c>
      <c r="AX115" s="21" t="e">
        <f t="shared" si="60"/>
        <v>#N/A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1">
        <f t="shared" si="86"/>
        <v>17.596876928845635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7">
        <f t="shared" si="56"/>
        <v>431.43857731773937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4.5474735088646412E-13</v>
      </c>
      <c r="O116" s="13">
        <f>N116*VLOOKUP('Données projet'!$B$9,Paramètres!$A$1:$I$89,3,0)*VLOOKUP('Données projet'!$B$9,Paramètres!$A$1:$I$89,5,0)</f>
        <v>2.7193891583010558E-13</v>
      </c>
      <c r="P116" s="13">
        <f t="shared" si="87"/>
        <v>3.6362267729089988E-12</v>
      </c>
      <c r="Q116" s="20">
        <f t="shared" si="107"/>
        <v>6.8067219078872727E-12</v>
      </c>
      <c r="R116" s="59">
        <f t="shared" si="55"/>
        <v>293.33333333334014</v>
      </c>
      <c r="S116" s="59">
        <f ca="1">AVERAGE(OFFSET($R$3,0,0,'Données projet'!$E$9+1,1))-AVERAGE(OFFSET($H$3,0,0,'Données projet'!$E$9+1,1))</f>
        <v>252.28378247570731</v>
      </c>
      <c r="T116" s="59">
        <f t="shared" si="88"/>
        <v>263.50418595307343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5.6735347003576075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1.297826736494769E-11</v>
      </c>
      <c r="AC116" s="22">
        <f t="shared" si="57"/>
        <v>5.6735347003705856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 t="e">
        <f>AI116*VLOOKUP('Données projet'!$B$10,Paramètres!$A$1:$I$89,3,0)*VLOOKUP('Données projet'!$B$10,Paramètres!$A$1:$I$89,5,0)</f>
        <v>#N/A</v>
      </c>
      <c r="AK116" s="13" t="e">
        <f t="shared" si="89"/>
        <v>#N/A</v>
      </c>
      <c r="AL116" s="20" t="e">
        <f t="shared" si="58"/>
        <v>#N/A</v>
      </c>
      <c r="AM116" s="59" t="e">
        <f t="shared" si="59"/>
        <v>#N/A</v>
      </c>
      <c r="AN116" s="59" t="e">
        <f ca="1">AVERAGE(OFFSET($AM$3,0,0,'Données projet'!$E$10+1,1))-AVERAGE(OFFSET($H$3,0,0,'Données projet'!$E$10+1,1))</f>
        <v>#N/A</v>
      </c>
      <c r="AO116" s="59" t="e">
        <f t="shared" si="90"/>
        <v>#N/A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 t="e">
        <f>EXP(-LN(2)/35)*AU115+(1-EXP(-LN(2)/35))/(LN(2)/35)*AQ116*AR116*VLOOKUP('Données projet'!$B$10,Paramètres!$A$1:$I$89,3,0)*0.475*44/12</f>
        <v>#N/A</v>
      </c>
      <c r="AV116" s="21" t="e">
        <f>EXP(-LN(2)/25)*AV115+(1-EXP(-LN(2)/25))/(LN(2)/25)*Calculateur!AQ116*Calculateur!AS116*VLOOKUP('Données projet'!$B$10,Paramètres!$A$1:$I$89,3,0)*0.475*44/12</f>
        <v>#N/A</v>
      </c>
      <c r="AW116" s="21" t="e">
        <f>EXP(-LN(2)/2)*AW115+(1-EXP(-LN(2)/2))/(LN(2)/2)*AQ116*AT116*VLOOKUP('Données projet'!$B$10,Paramètres!$A$1:$I$89,3,0)*0.475*44/12</f>
        <v>#N/A</v>
      </c>
      <c r="AX116" s="21" t="e">
        <f t="shared" si="60"/>
        <v>#N/A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1">
        <f t="shared" si="86"/>
        <v>17.734404526076418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7">
        <f t="shared" si="56"/>
        <v>432.62905454958297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4.5474735088646412E-13</v>
      </c>
      <c r="O117" s="13">
        <f>N117*VLOOKUP('Données projet'!$B$9,Paramètres!$A$1:$I$89,3,0)*VLOOKUP('Données projet'!$B$9,Paramètres!$A$1:$I$89,5,0)</f>
        <v>2.7193891583010558E-13</v>
      </c>
      <c r="P117" s="13">
        <f t="shared" si="87"/>
        <v>3.6362267729089988E-12</v>
      </c>
      <c r="Q117" s="20">
        <f t="shared" si="107"/>
        <v>6.8067219078872727E-12</v>
      </c>
      <c r="R117" s="59">
        <f t="shared" si="55"/>
        <v>293.33333333334014</v>
      </c>
      <c r="S117" s="59">
        <f ca="1">AVERAGE(OFFSET($R$3,0,0,'Données projet'!$E$9+1,1))-AVERAGE(OFFSET($H$3,0,0,'Données projet'!$E$9+1,1))</f>
        <v>252.28378247570731</v>
      </c>
      <c r="T117" s="59">
        <f t="shared" si="88"/>
        <v>263.50418595307343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5.5622801453980646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9.1770208618065768E-12</v>
      </c>
      <c r="AC117" s="22">
        <f t="shared" si="57"/>
        <v>5.5622801454072412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 t="e">
        <f>AI117*VLOOKUP('Données projet'!$B$10,Paramètres!$A$1:$I$89,3,0)*VLOOKUP('Données projet'!$B$10,Paramètres!$A$1:$I$89,5,0)</f>
        <v>#N/A</v>
      </c>
      <c r="AK117" s="13" t="e">
        <f t="shared" si="89"/>
        <v>#N/A</v>
      </c>
      <c r="AL117" s="20" t="e">
        <f t="shared" si="58"/>
        <v>#N/A</v>
      </c>
      <c r="AM117" s="59" t="e">
        <f t="shared" si="59"/>
        <v>#N/A</v>
      </c>
      <c r="AN117" s="59" t="e">
        <f ca="1">AVERAGE(OFFSET($AM$3,0,0,'Données projet'!$E$10+1,1))-AVERAGE(OFFSET($H$3,0,0,'Données projet'!$E$10+1,1))</f>
        <v>#N/A</v>
      </c>
      <c r="AO117" s="59" t="e">
        <f t="shared" si="90"/>
        <v>#N/A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 t="e">
        <f>EXP(-LN(2)/35)*AU116+(1-EXP(-LN(2)/35))/(LN(2)/35)*AQ117*AR117*VLOOKUP('Données projet'!$B$10,Paramètres!$A$1:$I$89,3,0)*0.475*44/12</f>
        <v>#N/A</v>
      </c>
      <c r="AV117" s="21" t="e">
        <f>EXP(-LN(2)/25)*AV116+(1-EXP(-LN(2)/25))/(LN(2)/25)*Calculateur!AQ117*Calculateur!AS117*VLOOKUP('Données projet'!$B$10,Paramètres!$A$1:$I$89,3,0)*0.475*44/12</f>
        <v>#N/A</v>
      </c>
      <c r="AW117" s="21" t="e">
        <f>EXP(-LN(2)/2)*AW116+(1-EXP(-LN(2)/2))/(LN(2)/2)*AQ117*AT117*VLOOKUP('Données projet'!$B$10,Paramètres!$A$1:$I$89,3,0)*0.475*44/12</f>
        <v>#N/A</v>
      </c>
      <c r="AX117" s="21" t="e">
        <f t="shared" si="60"/>
        <v>#N/A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1">
        <f t="shared" si="86"/>
        <v>17.871791770153557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7">
        <f t="shared" si="56"/>
        <v>433.81928733301731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4.5474735088646412E-13</v>
      </c>
      <c r="O118" s="13">
        <f>N118*VLOOKUP('Données projet'!$B$9,Paramètres!$A$1:$I$89,3,0)*VLOOKUP('Données projet'!$B$9,Paramètres!$A$1:$I$89,5,0)</f>
        <v>2.7193891583010558E-13</v>
      </c>
      <c r="P118" s="13">
        <f t="shared" si="87"/>
        <v>3.6362267729089988E-12</v>
      </c>
      <c r="Q118" s="20">
        <f t="shared" si="107"/>
        <v>6.8067219078872727E-12</v>
      </c>
      <c r="R118" s="59">
        <f t="shared" si="55"/>
        <v>293.33333333334014</v>
      </c>
      <c r="S118" s="59">
        <f ca="1">AVERAGE(OFFSET($R$3,0,0,'Données projet'!$E$9+1,1))-AVERAGE(OFFSET($H$3,0,0,'Données projet'!$E$9+1,1))</f>
        <v>252.28378247570731</v>
      </c>
      <c r="T118" s="59">
        <f t="shared" si="88"/>
        <v>263.50418595307343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5.4532072244026999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6.489133682473845E-12</v>
      </c>
      <c r="AC118" s="22">
        <f t="shared" si="57"/>
        <v>5.4532072244091889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 t="e">
        <f>AI118*VLOOKUP('Données projet'!$B$10,Paramètres!$A$1:$I$89,3,0)*VLOOKUP('Données projet'!$B$10,Paramètres!$A$1:$I$89,5,0)</f>
        <v>#N/A</v>
      </c>
      <c r="AK118" s="13" t="e">
        <f t="shared" si="89"/>
        <v>#N/A</v>
      </c>
      <c r="AL118" s="20" t="e">
        <f t="shared" si="58"/>
        <v>#N/A</v>
      </c>
      <c r="AM118" s="59" t="e">
        <f t="shared" si="59"/>
        <v>#N/A</v>
      </c>
      <c r="AN118" s="59" t="e">
        <f ca="1">AVERAGE(OFFSET($AM$3,0,0,'Données projet'!$E$10+1,1))-AVERAGE(OFFSET($H$3,0,0,'Données projet'!$E$10+1,1))</f>
        <v>#N/A</v>
      </c>
      <c r="AO118" s="59" t="e">
        <f t="shared" si="90"/>
        <v>#N/A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 t="e">
        <f>EXP(-LN(2)/35)*AU117+(1-EXP(-LN(2)/35))/(LN(2)/35)*AQ118*AR118*VLOOKUP('Données projet'!$B$10,Paramètres!$A$1:$I$89,3,0)*0.475*44/12</f>
        <v>#N/A</v>
      </c>
      <c r="AV118" s="21" t="e">
        <f>EXP(-LN(2)/25)*AV117+(1-EXP(-LN(2)/25))/(LN(2)/25)*Calculateur!AQ118*Calculateur!AS118*VLOOKUP('Données projet'!$B$10,Paramètres!$A$1:$I$89,3,0)*0.475*44/12</f>
        <v>#N/A</v>
      </c>
      <c r="AW118" s="21" t="e">
        <f>EXP(-LN(2)/2)*AW117+(1-EXP(-LN(2)/2))/(LN(2)/2)*AQ118*AT118*VLOOKUP('Données projet'!$B$10,Paramètres!$A$1:$I$89,3,0)*0.475*44/12</f>
        <v>#N/A</v>
      </c>
      <c r="AX118" s="21" t="e">
        <f t="shared" si="60"/>
        <v>#N/A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1">
        <f t="shared" si="86"/>
        <v>18.009040022946209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7">
        <f t="shared" si="56"/>
        <v>435.00927803996456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4.5474735088646412E-13</v>
      </c>
      <c r="O119" s="13">
        <f>N119*VLOOKUP('Données projet'!$B$9,Paramètres!$A$1:$I$89,3,0)*VLOOKUP('Données projet'!$B$9,Paramètres!$A$1:$I$89,5,0)</f>
        <v>2.7193891583010558E-13</v>
      </c>
      <c r="P119" s="13">
        <f t="shared" si="87"/>
        <v>3.6362267729089988E-12</v>
      </c>
      <c r="Q119" s="20">
        <f t="shared" si="107"/>
        <v>6.8067219078872727E-12</v>
      </c>
      <c r="R119" s="59">
        <f t="shared" si="55"/>
        <v>293.33333333334014</v>
      </c>
      <c r="S119" s="59">
        <f ca="1">AVERAGE(OFFSET($R$3,0,0,'Données projet'!$E$9+1,1))-AVERAGE(OFFSET($H$3,0,0,'Données projet'!$E$9+1,1))</f>
        <v>252.28378247570731</v>
      </c>
      <c r="T119" s="59">
        <f t="shared" si="88"/>
        <v>263.50418595307343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5.3462731568601418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4.5885104309032884E-12</v>
      </c>
      <c r="AC119" s="22">
        <f t="shared" si="57"/>
        <v>5.3462731568647301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 t="e">
        <f>AI119*VLOOKUP('Données projet'!$B$10,Paramètres!$A$1:$I$89,3,0)*VLOOKUP('Données projet'!$B$10,Paramètres!$A$1:$I$89,5,0)</f>
        <v>#N/A</v>
      </c>
      <c r="AK119" s="13" t="e">
        <f t="shared" si="89"/>
        <v>#N/A</v>
      </c>
      <c r="AL119" s="20" t="e">
        <f t="shared" si="58"/>
        <v>#N/A</v>
      </c>
      <c r="AM119" s="59" t="e">
        <f t="shared" si="59"/>
        <v>#N/A</v>
      </c>
      <c r="AN119" s="59" t="e">
        <f ca="1">AVERAGE(OFFSET($AM$3,0,0,'Données projet'!$E$10+1,1))-AVERAGE(OFFSET($H$3,0,0,'Données projet'!$E$10+1,1))</f>
        <v>#N/A</v>
      </c>
      <c r="AO119" s="59" t="e">
        <f t="shared" si="90"/>
        <v>#N/A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 t="e">
        <f>EXP(-LN(2)/35)*AU118+(1-EXP(-LN(2)/35))/(LN(2)/35)*AQ119*AR119*VLOOKUP('Données projet'!$B$10,Paramètres!$A$1:$I$89,3,0)*0.475*44/12</f>
        <v>#N/A</v>
      </c>
      <c r="AV119" s="21" t="e">
        <f>EXP(-LN(2)/25)*AV118+(1-EXP(-LN(2)/25))/(LN(2)/25)*Calculateur!AQ119*Calculateur!AS119*VLOOKUP('Données projet'!$B$10,Paramètres!$A$1:$I$89,3,0)*0.475*44/12</f>
        <v>#N/A</v>
      </c>
      <c r="AW119" s="21" t="e">
        <f>EXP(-LN(2)/2)*AW118+(1-EXP(-LN(2)/2))/(LN(2)/2)*AQ119*AT119*VLOOKUP('Données projet'!$B$10,Paramètres!$A$1:$I$89,3,0)*0.475*44/12</f>
        <v>#N/A</v>
      </c>
      <c r="AX119" s="21" t="e">
        <f t="shared" si="60"/>
        <v>#N/A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1">
        <f t="shared" si="86"/>
        <v>18.146150621487966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7">
        <f t="shared" si="56"/>
        <v>436.19902899909141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4.5474735088646412E-13</v>
      </c>
      <c r="O120" s="13">
        <f>N120*VLOOKUP('Données projet'!$B$9,Paramètres!$A$1:$I$89,3,0)*VLOOKUP('Données projet'!$B$9,Paramètres!$A$1:$I$89,5,0)</f>
        <v>2.7193891583010558E-13</v>
      </c>
      <c r="P120" s="13">
        <f t="shared" si="87"/>
        <v>3.6362267729089988E-12</v>
      </c>
      <c r="Q120" s="20">
        <f t="shared" si="107"/>
        <v>6.8067219078872727E-12</v>
      </c>
      <c r="R120" s="59">
        <f t="shared" si="55"/>
        <v>293.33333333334014</v>
      </c>
      <c r="S120" s="59">
        <f ca="1">AVERAGE(OFFSET($R$3,0,0,'Données projet'!$E$9+1,1))-AVERAGE(OFFSET($H$3,0,0,'Données projet'!$E$9+1,1))</f>
        <v>252.28378247570731</v>
      </c>
      <c r="T120" s="59">
        <f t="shared" si="88"/>
        <v>263.50418595307343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5.2414360011587524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3.2445668412369225E-12</v>
      </c>
      <c r="AC120" s="22">
        <f t="shared" si="57"/>
        <v>5.2414360011619969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 t="e">
        <f>AI120*VLOOKUP('Données projet'!$B$10,Paramètres!$A$1:$I$89,3,0)*VLOOKUP('Données projet'!$B$10,Paramètres!$A$1:$I$89,5,0)</f>
        <v>#N/A</v>
      </c>
      <c r="AK120" s="13" t="e">
        <f t="shared" si="89"/>
        <v>#N/A</v>
      </c>
      <c r="AL120" s="20" t="e">
        <f t="shared" si="58"/>
        <v>#N/A</v>
      </c>
      <c r="AM120" s="59" t="e">
        <f t="shared" si="59"/>
        <v>#N/A</v>
      </c>
      <c r="AN120" s="59" t="e">
        <f ca="1">AVERAGE(OFFSET($AM$3,0,0,'Données projet'!$E$10+1,1))-AVERAGE(OFFSET($H$3,0,0,'Données projet'!$E$10+1,1))</f>
        <v>#N/A</v>
      </c>
      <c r="AO120" s="59" t="e">
        <f t="shared" si="90"/>
        <v>#N/A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 t="e">
        <f>EXP(-LN(2)/35)*AU119+(1-EXP(-LN(2)/35))/(LN(2)/35)*AQ120*AR120*VLOOKUP('Données projet'!$B$10,Paramètres!$A$1:$I$89,3,0)*0.475*44/12</f>
        <v>#N/A</v>
      </c>
      <c r="AV120" s="21" t="e">
        <f>EXP(-LN(2)/25)*AV119+(1-EXP(-LN(2)/25))/(LN(2)/25)*Calculateur!AQ120*Calculateur!AS120*VLOOKUP('Données projet'!$B$10,Paramètres!$A$1:$I$89,3,0)*0.475*44/12</f>
        <v>#N/A</v>
      </c>
      <c r="AW120" s="21" t="e">
        <f>EXP(-LN(2)/2)*AW119+(1-EXP(-LN(2)/2))/(LN(2)/2)*AQ120*AT120*VLOOKUP('Données projet'!$B$10,Paramètres!$A$1:$I$89,3,0)*0.475*44/12</f>
        <v>#N/A</v>
      </c>
      <c r="AX120" s="21" t="e">
        <f t="shared" si="60"/>
        <v>#N/A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1">
        <f t="shared" si="86"/>
        <v>18.283124878638194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7">
        <f t="shared" si="56"/>
        <v>437.38854249696135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4.5474735088646412E-13</v>
      </c>
      <c r="O121" s="13">
        <f>N121*VLOOKUP('Données projet'!$B$9,Paramètres!$A$1:$I$89,3,0)*VLOOKUP('Données projet'!$B$9,Paramètres!$A$1:$I$89,5,0)</f>
        <v>2.7193891583010558E-13</v>
      </c>
      <c r="P121" s="13">
        <f t="shared" si="87"/>
        <v>3.6362267729089988E-12</v>
      </c>
      <c r="Q121" s="20">
        <f t="shared" si="107"/>
        <v>6.8067219078872727E-12</v>
      </c>
      <c r="R121" s="59">
        <f t="shared" si="55"/>
        <v>293.33333333334014</v>
      </c>
      <c r="S121" s="59">
        <f ca="1">AVERAGE(OFFSET($R$3,0,0,'Données projet'!$E$9+1,1))-AVERAGE(OFFSET($H$3,0,0,'Données projet'!$E$9+1,1))</f>
        <v>252.28378247570731</v>
      </c>
      <c r="T121" s="59">
        <f t="shared" si="88"/>
        <v>263.50418595307343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5.1386546381363161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2.2942552154516442E-12</v>
      </c>
      <c r="AC121" s="22">
        <f t="shared" si="57"/>
        <v>5.1386546381386102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 t="e">
        <f>AI121*VLOOKUP('Données projet'!$B$10,Paramètres!$A$1:$I$89,3,0)*VLOOKUP('Données projet'!$B$10,Paramètres!$A$1:$I$89,5,0)</f>
        <v>#N/A</v>
      </c>
      <c r="AK121" s="13" t="e">
        <f t="shared" si="89"/>
        <v>#N/A</v>
      </c>
      <c r="AL121" s="20" t="e">
        <f t="shared" si="58"/>
        <v>#N/A</v>
      </c>
      <c r="AM121" s="59" t="e">
        <f t="shared" si="59"/>
        <v>#N/A</v>
      </c>
      <c r="AN121" s="59" t="e">
        <f ca="1">AVERAGE(OFFSET($AM$3,0,0,'Données projet'!$E$10+1,1))-AVERAGE(OFFSET($H$3,0,0,'Données projet'!$E$10+1,1))</f>
        <v>#N/A</v>
      </c>
      <c r="AO121" s="59" t="e">
        <f t="shared" si="90"/>
        <v>#N/A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 t="e">
        <f>EXP(-LN(2)/35)*AU120+(1-EXP(-LN(2)/35))/(LN(2)/35)*AQ121*AR121*VLOOKUP('Données projet'!$B$10,Paramètres!$A$1:$I$89,3,0)*0.475*44/12</f>
        <v>#N/A</v>
      </c>
      <c r="AV121" s="21" t="e">
        <f>EXP(-LN(2)/25)*AV120+(1-EXP(-LN(2)/25))/(LN(2)/25)*Calculateur!AQ121*Calculateur!AS121*VLOOKUP('Données projet'!$B$10,Paramètres!$A$1:$I$89,3,0)*0.475*44/12</f>
        <v>#N/A</v>
      </c>
      <c r="AW121" s="21" t="e">
        <f>EXP(-LN(2)/2)*AW120+(1-EXP(-LN(2)/2))/(LN(2)/2)*AQ121*AT121*VLOOKUP('Données projet'!$B$10,Paramètres!$A$1:$I$89,3,0)*0.475*44/12</f>
        <v>#N/A</v>
      </c>
      <c r="AX121" s="21" t="e">
        <f t="shared" si="60"/>
        <v>#N/A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1">
        <f t="shared" si="86"/>
        <v>18.41996408372005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7">
        <f t="shared" si="56"/>
        <v>438.57782077914567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4.5474735088646412E-13</v>
      </c>
      <c r="O122" s="13">
        <f>N122*VLOOKUP('Données projet'!$B$9,Paramètres!$A$1:$I$89,3,0)*VLOOKUP('Données projet'!$B$9,Paramètres!$A$1:$I$89,5,0)</f>
        <v>2.7193891583010558E-13</v>
      </c>
      <c r="P122" s="13">
        <f t="shared" si="87"/>
        <v>3.6362267729089988E-12</v>
      </c>
      <c r="Q122" s="20">
        <f t="shared" si="107"/>
        <v>6.8067219078872727E-12</v>
      </c>
      <c r="R122" s="59">
        <f t="shared" si="55"/>
        <v>293.33333333334014</v>
      </c>
      <c r="S122" s="59">
        <f ca="1">AVERAGE(OFFSET($R$3,0,0,'Données projet'!$E$9+1,1))-AVERAGE(OFFSET($H$3,0,0,'Données projet'!$E$9+1,1))</f>
        <v>252.28378247570731</v>
      </c>
      <c r="T122" s="59">
        <f t="shared" si="88"/>
        <v>263.50418595307343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5.0378887549523084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1.6222834206184612E-12</v>
      </c>
      <c r="AC122" s="22">
        <f t="shared" si="57"/>
        <v>5.0378887549539311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 t="e">
        <f>AI122*VLOOKUP('Données projet'!$B$10,Paramètres!$A$1:$I$89,3,0)*VLOOKUP('Données projet'!$B$10,Paramètres!$A$1:$I$89,5,0)</f>
        <v>#N/A</v>
      </c>
      <c r="AK122" s="13" t="e">
        <f t="shared" si="89"/>
        <v>#N/A</v>
      </c>
      <c r="AL122" s="20" t="e">
        <f t="shared" si="58"/>
        <v>#N/A</v>
      </c>
      <c r="AM122" s="59" t="e">
        <f t="shared" si="59"/>
        <v>#N/A</v>
      </c>
      <c r="AN122" s="59" t="e">
        <f ca="1">AVERAGE(OFFSET($AM$3,0,0,'Données projet'!$E$10+1,1))-AVERAGE(OFFSET($H$3,0,0,'Données projet'!$E$10+1,1))</f>
        <v>#N/A</v>
      </c>
      <c r="AO122" s="59" t="e">
        <f t="shared" si="90"/>
        <v>#N/A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 t="e">
        <f>EXP(-LN(2)/35)*AU121+(1-EXP(-LN(2)/35))/(LN(2)/35)*AQ122*AR122*VLOOKUP('Données projet'!$B$10,Paramètres!$A$1:$I$89,3,0)*0.475*44/12</f>
        <v>#N/A</v>
      </c>
      <c r="AV122" s="21" t="e">
        <f>EXP(-LN(2)/25)*AV121+(1-EXP(-LN(2)/25))/(LN(2)/25)*Calculateur!AQ122*Calculateur!AS122*VLOOKUP('Données projet'!$B$10,Paramètres!$A$1:$I$89,3,0)*0.475*44/12</f>
        <v>#N/A</v>
      </c>
      <c r="AW122" s="21" t="e">
        <f>EXP(-LN(2)/2)*AW121+(1-EXP(-LN(2)/2))/(LN(2)/2)*AQ122*AT122*VLOOKUP('Données projet'!$B$10,Paramètres!$A$1:$I$89,3,0)*0.475*44/12</f>
        <v>#N/A</v>
      </c>
      <c r="AX122" s="21" t="e">
        <f t="shared" si="60"/>
        <v>#N/A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1">
        <f t="shared" si="86"/>
        <v>18.556669503136707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7">
        <f t="shared" si="56"/>
        <v>439.76686605129635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4.5474735088646412E-13</v>
      </c>
      <c r="O123" s="13">
        <f>N123*VLOOKUP('Données projet'!$B$9,Paramètres!$A$1:$I$89,3,0)*VLOOKUP('Données projet'!$B$9,Paramètres!$A$1:$I$89,5,0)</f>
        <v>2.7193891583010558E-13</v>
      </c>
      <c r="P123" s="13">
        <f t="shared" si="87"/>
        <v>3.6362267729089988E-12</v>
      </c>
      <c r="Q123" s="20">
        <f t="shared" si="107"/>
        <v>6.8067219078872727E-12</v>
      </c>
      <c r="R123" s="59">
        <f t="shared" si="55"/>
        <v>293.33333333334014</v>
      </c>
      <c r="S123" s="59">
        <f ca="1">AVERAGE(OFFSET($R$3,0,0,'Données projet'!$E$9+1,1))-AVERAGE(OFFSET($H$3,0,0,'Données projet'!$E$9+1,1))</f>
        <v>252.28378247570731</v>
      </c>
      <c r="T123" s="59">
        <f t="shared" si="88"/>
        <v>263.50418595307343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4.9390988292764195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1.1471276077258221E-12</v>
      </c>
      <c r="AC123" s="22">
        <f t="shared" si="57"/>
        <v>4.939098829277567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 t="e">
        <f>AI123*VLOOKUP('Données projet'!$B$10,Paramètres!$A$1:$I$89,3,0)*VLOOKUP('Données projet'!$B$10,Paramètres!$A$1:$I$89,5,0)</f>
        <v>#N/A</v>
      </c>
      <c r="AK123" s="13" t="e">
        <f t="shared" si="89"/>
        <v>#N/A</v>
      </c>
      <c r="AL123" s="20" t="e">
        <f t="shared" si="58"/>
        <v>#N/A</v>
      </c>
      <c r="AM123" s="59" t="e">
        <f t="shared" si="59"/>
        <v>#N/A</v>
      </c>
      <c r="AN123" s="59" t="e">
        <f ca="1">AVERAGE(OFFSET($AM$3,0,0,'Données projet'!$E$10+1,1))-AVERAGE(OFFSET($H$3,0,0,'Données projet'!$E$10+1,1))</f>
        <v>#N/A</v>
      </c>
      <c r="AO123" s="59" t="e">
        <f t="shared" si="90"/>
        <v>#N/A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 t="e">
        <f>EXP(-LN(2)/35)*AU122+(1-EXP(-LN(2)/35))/(LN(2)/35)*AQ123*AR123*VLOOKUP('Données projet'!$B$10,Paramètres!$A$1:$I$89,3,0)*0.475*44/12</f>
        <v>#N/A</v>
      </c>
      <c r="AV123" s="21" t="e">
        <f>EXP(-LN(2)/25)*AV122+(1-EXP(-LN(2)/25))/(LN(2)/25)*Calculateur!AQ123*Calculateur!AS123*VLOOKUP('Données projet'!$B$10,Paramètres!$A$1:$I$89,3,0)*0.475*44/12</f>
        <v>#N/A</v>
      </c>
      <c r="AW123" s="21" t="e">
        <f>EXP(-LN(2)/2)*AW122+(1-EXP(-LN(2)/2))/(LN(2)/2)*AQ123*AT123*VLOOKUP('Données projet'!$B$10,Paramètres!$A$1:$I$89,3,0)*0.475*44/12</f>
        <v>#N/A</v>
      </c>
      <c r="AX123" s="21" t="e">
        <f t="shared" si="60"/>
        <v>#N/A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1">
        <f t="shared" si="86"/>
        <v>18.69324238096624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7">
        <f t="shared" si="56"/>
        <v>440.95568048018276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4.5474735088646412E-13</v>
      </c>
      <c r="O124" s="13">
        <f>N124*VLOOKUP('Données projet'!$B$9,Paramètres!$A$1:$I$89,3,0)*VLOOKUP('Données projet'!$B$9,Paramètres!$A$1:$I$89,5,0)</f>
        <v>2.7193891583010558E-13</v>
      </c>
      <c r="P124" s="13">
        <f t="shared" si="87"/>
        <v>3.6362267729089988E-12</v>
      </c>
      <c r="Q124" s="20">
        <f t="shared" si="107"/>
        <v>6.8067219078872727E-12</v>
      </c>
      <c r="R124" s="59">
        <f t="shared" si="55"/>
        <v>293.33333333334014</v>
      </c>
      <c r="S124" s="59">
        <f ca="1">AVERAGE(OFFSET($R$3,0,0,'Données projet'!$E$9+1,1))-AVERAGE(OFFSET($H$3,0,0,'Données projet'!$E$9+1,1))</f>
        <v>252.28378247570731</v>
      </c>
      <c r="T124" s="59">
        <f t="shared" si="88"/>
        <v>263.50418595307343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4.8422461137871302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8.1114171030923062E-13</v>
      </c>
      <c r="AC124" s="22">
        <f t="shared" si="57"/>
        <v>4.8422461137879411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 t="e">
        <f>AI124*VLOOKUP('Données projet'!$B$10,Paramètres!$A$1:$I$89,3,0)*VLOOKUP('Données projet'!$B$10,Paramètres!$A$1:$I$89,5,0)</f>
        <v>#N/A</v>
      </c>
      <c r="AK124" s="13" t="e">
        <f t="shared" si="89"/>
        <v>#N/A</v>
      </c>
      <c r="AL124" s="20" t="e">
        <f t="shared" si="58"/>
        <v>#N/A</v>
      </c>
      <c r="AM124" s="59" t="e">
        <f t="shared" si="59"/>
        <v>#N/A</v>
      </c>
      <c r="AN124" s="59" t="e">
        <f ca="1">AVERAGE(OFFSET($AM$3,0,0,'Données projet'!$E$10+1,1))-AVERAGE(OFFSET($H$3,0,0,'Données projet'!$E$10+1,1))</f>
        <v>#N/A</v>
      </c>
      <c r="AO124" s="59" t="e">
        <f t="shared" si="90"/>
        <v>#N/A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 t="e">
        <f>EXP(-LN(2)/35)*AU123+(1-EXP(-LN(2)/35))/(LN(2)/35)*AQ124*AR124*VLOOKUP('Données projet'!$B$10,Paramètres!$A$1:$I$89,3,0)*0.475*44/12</f>
        <v>#N/A</v>
      </c>
      <c r="AV124" s="21" t="e">
        <f>EXP(-LN(2)/25)*AV123+(1-EXP(-LN(2)/25))/(LN(2)/25)*Calculateur!AQ124*Calculateur!AS124*VLOOKUP('Données projet'!$B$10,Paramètres!$A$1:$I$89,3,0)*0.475*44/12</f>
        <v>#N/A</v>
      </c>
      <c r="AW124" s="21" t="e">
        <f>EXP(-LN(2)/2)*AW123+(1-EXP(-LN(2)/2))/(LN(2)/2)*AQ124*AT124*VLOOKUP('Données projet'!$B$10,Paramètres!$A$1:$I$89,3,0)*0.475*44/12</f>
        <v>#N/A</v>
      </c>
      <c r="AX124" s="21" t="e">
        <f t="shared" si="60"/>
        <v>#N/A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1">
        <f t="shared" si="86"/>
        <v>18.829683939536395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7">
        <f t="shared" si="56"/>
        <v>442.14426619469248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4.5474735088646412E-13</v>
      </c>
      <c r="O125" s="13">
        <f>N125*VLOOKUP('Données projet'!$B$9,Paramètres!$A$1:$I$89,3,0)*VLOOKUP('Données projet'!$B$9,Paramètres!$A$1:$I$89,5,0)</f>
        <v>2.7193891583010558E-13</v>
      </c>
      <c r="P125" s="13">
        <f t="shared" si="87"/>
        <v>3.6362267729089988E-12</v>
      </c>
      <c r="Q125" s="20">
        <f t="shared" si="107"/>
        <v>6.8067219078872727E-12</v>
      </c>
      <c r="R125" s="59">
        <f t="shared" si="55"/>
        <v>293.33333333334014</v>
      </c>
      <c r="S125" s="59">
        <f ca="1">AVERAGE(OFFSET($R$3,0,0,'Données projet'!$E$9+1,1))-AVERAGE(OFFSET($H$3,0,0,'Données projet'!$E$9+1,1))</f>
        <v>252.28378247570731</v>
      </c>
      <c r="T125" s="59">
        <f t="shared" si="88"/>
        <v>263.50418595307343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4.7472926209742621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5.7356380386291105E-13</v>
      </c>
      <c r="AC125" s="22">
        <f t="shared" si="57"/>
        <v>4.7472926209748358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 t="e">
        <f>AI125*VLOOKUP('Données projet'!$B$10,Paramètres!$A$1:$I$89,3,0)*VLOOKUP('Données projet'!$B$10,Paramètres!$A$1:$I$89,5,0)</f>
        <v>#N/A</v>
      </c>
      <c r="AK125" s="13" t="e">
        <f t="shared" si="89"/>
        <v>#N/A</v>
      </c>
      <c r="AL125" s="20" t="e">
        <f t="shared" si="58"/>
        <v>#N/A</v>
      </c>
      <c r="AM125" s="59" t="e">
        <f t="shared" si="59"/>
        <v>#N/A</v>
      </c>
      <c r="AN125" s="59" t="e">
        <f ca="1">AVERAGE(OFFSET($AM$3,0,0,'Données projet'!$E$10+1,1))-AVERAGE(OFFSET($H$3,0,0,'Données projet'!$E$10+1,1))</f>
        <v>#N/A</v>
      </c>
      <c r="AO125" s="59" t="e">
        <f t="shared" si="90"/>
        <v>#N/A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 t="e">
        <f>EXP(-LN(2)/35)*AU124+(1-EXP(-LN(2)/35))/(LN(2)/35)*AQ125*AR125*VLOOKUP('Données projet'!$B$10,Paramètres!$A$1:$I$89,3,0)*0.475*44/12</f>
        <v>#N/A</v>
      </c>
      <c r="AV125" s="21" t="e">
        <f>EXP(-LN(2)/25)*AV124+(1-EXP(-LN(2)/25))/(LN(2)/25)*Calculateur!AQ125*Calculateur!AS125*VLOOKUP('Données projet'!$B$10,Paramètres!$A$1:$I$89,3,0)*0.475*44/12</f>
        <v>#N/A</v>
      </c>
      <c r="AW125" s="21" t="e">
        <f>EXP(-LN(2)/2)*AW124+(1-EXP(-LN(2)/2))/(LN(2)/2)*AQ125*AT125*VLOOKUP('Données projet'!$B$10,Paramètres!$A$1:$I$89,3,0)*0.475*44/12</f>
        <v>#N/A</v>
      </c>
      <c r="AX125" s="21" t="e">
        <f t="shared" si="60"/>
        <v>#N/A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1">
        <f t="shared" si="86"/>
        <v>18.965995379979955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7">
        <f t="shared" si="56"/>
        <v>443.33262528679836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4.5474735088646412E-13</v>
      </c>
      <c r="O126" s="13">
        <f>N126*VLOOKUP('Données projet'!$B$9,Paramètres!$A$1:$I$89,3,0)*VLOOKUP('Données projet'!$B$9,Paramètres!$A$1:$I$89,5,0)</f>
        <v>2.7193891583010558E-13</v>
      </c>
      <c r="P126" s="13">
        <f t="shared" si="87"/>
        <v>3.6362267729089988E-12</v>
      </c>
      <c r="Q126" s="20">
        <f t="shared" si="107"/>
        <v>6.8067219078872727E-12</v>
      </c>
      <c r="R126" s="59">
        <f t="shared" si="55"/>
        <v>293.33333333334014</v>
      </c>
      <c r="S126" s="59">
        <f ca="1">AVERAGE(OFFSET($R$3,0,0,'Données projet'!$E$9+1,1))-AVERAGE(OFFSET($H$3,0,0,'Données projet'!$E$9+1,1))</f>
        <v>252.28378247570731</v>
      </c>
      <c r="T126" s="59">
        <f t="shared" si="88"/>
        <v>263.50418595307343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4.6542011082395423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4.0557085515461531E-13</v>
      </c>
      <c r="AC126" s="22">
        <f t="shared" si="57"/>
        <v>4.6542011082399481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 t="e">
        <f>AI126*VLOOKUP('Données projet'!$B$10,Paramètres!$A$1:$I$89,3,0)*VLOOKUP('Données projet'!$B$10,Paramètres!$A$1:$I$89,5,0)</f>
        <v>#N/A</v>
      </c>
      <c r="AK126" s="13" t="e">
        <f t="shared" si="89"/>
        <v>#N/A</v>
      </c>
      <c r="AL126" s="20" t="e">
        <f t="shared" si="58"/>
        <v>#N/A</v>
      </c>
      <c r="AM126" s="59" t="e">
        <f t="shared" si="59"/>
        <v>#N/A</v>
      </c>
      <c r="AN126" s="59" t="e">
        <f ca="1">AVERAGE(OFFSET($AM$3,0,0,'Données projet'!$E$10+1,1))-AVERAGE(OFFSET($H$3,0,0,'Données projet'!$E$10+1,1))</f>
        <v>#N/A</v>
      </c>
      <c r="AO126" s="59" t="e">
        <f t="shared" si="90"/>
        <v>#N/A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 t="e">
        <f>EXP(-LN(2)/35)*AU125+(1-EXP(-LN(2)/35))/(LN(2)/35)*AQ126*AR126*VLOOKUP('Données projet'!$B$10,Paramètres!$A$1:$I$89,3,0)*0.475*44/12</f>
        <v>#N/A</v>
      </c>
      <c r="AV126" s="21" t="e">
        <f>EXP(-LN(2)/25)*AV125+(1-EXP(-LN(2)/25))/(LN(2)/25)*Calculateur!AQ126*Calculateur!AS126*VLOOKUP('Données projet'!$B$10,Paramètres!$A$1:$I$89,3,0)*0.475*44/12</f>
        <v>#N/A</v>
      </c>
      <c r="AW126" s="21" t="e">
        <f>EXP(-LN(2)/2)*AW125+(1-EXP(-LN(2)/2))/(LN(2)/2)*AQ126*AT126*VLOOKUP('Données projet'!$B$10,Paramètres!$A$1:$I$89,3,0)*0.475*44/12</f>
        <v>#N/A</v>
      </c>
      <c r="AX126" s="21" t="e">
        <f t="shared" si="60"/>
        <v>#N/A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1">
        <f t="shared" si="86"/>
        <v>19.102177882771514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7">
        <f t="shared" si="56"/>
        <v>444.52075981249368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4.5474735088646412E-13</v>
      </c>
      <c r="O127" s="13">
        <f>N127*VLOOKUP('Données projet'!$B$9,Paramètres!$A$1:$I$89,3,0)*VLOOKUP('Données projet'!$B$9,Paramètres!$A$1:$I$89,5,0)</f>
        <v>2.7193891583010558E-13</v>
      </c>
      <c r="P127" s="13">
        <f t="shared" si="87"/>
        <v>3.6362267729089988E-12</v>
      </c>
      <c r="Q127" s="20">
        <f t="shared" si="107"/>
        <v>6.8067219078872727E-12</v>
      </c>
      <c r="R127" s="59">
        <f t="shared" si="55"/>
        <v>293.33333333334014</v>
      </c>
      <c r="S127" s="59">
        <f ca="1">AVERAGE(OFFSET($R$3,0,0,'Données projet'!$E$9+1,1))-AVERAGE(OFFSET($H$3,0,0,'Données projet'!$E$9+1,1))</f>
        <v>252.28378247570731</v>
      </c>
      <c r="T127" s="59">
        <f t="shared" si="88"/>
        <v>263.50418595307343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4.5629350632893342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2.8678190193145552E-13</v>
      </c>
      <c r="AC127" s="22">
        <f t="shared" si="57"/>
        <v>4.5629350632896211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 t="e">
        <f>AI127*VLOOKUP('Données projet'!$B$10,Paramètres!$A$1:$I$89,3,0)*VLOOKUP('Données projet'!$B$10,Paramètres!$A$1:$I$89,5,0)</f>
        <v>#N/A</v>
      </c>
      <c r="AK127" s="13" t="e">
        <f t="shared" si="89"/>
        <v>#N/A</v>
      </c>
      <c r="AL127" s="20" t="e">
        <f t="shared" si="58"/>
        <v>#N/A</v>
      </c>
      <c r="AM127" s="59" t="e">
        <f t="shared" si="59"/>
        <v>#N/A</v>
      </c>
      <c r="AN127" s="59" t="e">
        <f ca="1">AVERAGE(OFFSET($AM$3,0,0,'Données projet'!$E$10+1,1))-AVERAGE(OFFSET($H$3,0,0,'Données projet'!$E$10+1,1))</f>
        <v>#N/A</v>
      </c>
      <c r="AO127" s="59" t="e">
        <f t="shared" si="90"/>
        <v>#N/A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 t="e">
        <f>EXP(-LN(2)/35)*AU126+(1-EXP(-LN(2)/35))/(LN(2)/35)*AQ127*AR127*VLOOKUP('Données projet'!$B$10,Paramètres!$A$1:$I$89,3,0)*0.475*44/12</f>
        <v>#N/A</v>
      </c>
      <c r="AV127" s="21" t="e">
        <f>EXP(-LN(2)/25)*AV126+(1-EXP(-LN(2)/25))/(LN(2)/25)*Calculateur!AQ127*Calculateur!AS127*VLOOKUP('Données projet'!$B$10,Paramètres!$A$1:$I$89,3,0)*0.475*44/12</f>
        <v>#N/A</v>
      </c>
      <c r="AW127" s="21" t="e">
        <f>EXP(-LN(2)/2)*AW126+(1-EXP(-LN(2)/2))/(LN(2)/2)*AQ127*AT127*VLOOKUP('Données projet'!$B$10,Paramètres!$A$1:$I$89,3,0)*0.475*44/12</f>
        <v>#N/A</v>
      </c>
      <c r="AX127" s="21" t="e">
        <f t="shared" si="60"/>
        <v>#N/A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1">
        <f t="shared" si="86"/>
        <v>19.238232608246435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7">
        <f t="shared" si="56"/>
        <v>445.70867179269578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4.5474735088646412E-13</v>
      </c>
      <c r="O128" s="13">
        <f>N128*VLOOKUP('Données projet'!$B$9,Paramètres!$A$1:$I$89,3,0)*VLOOKUP('Données projet'!$B$9,Paramètres!$A$1:$I$89,5,0)</f>
        <v>2.7193891583010558E-13</v>
      </c>
      <c r="P128" s="13">
        <f t="shared" si="87"/>
        <v>3.6362267729089988E-12</v>
      </c>
      <c r="Q128" s="20">
        <f t="shared" si="107"/>
        <v>6.8067219078872727E-12</v>
      </c>
      <c r="R128" s="59">
        <f t="shared" si="55"/>
        <v>293.33333333334014</v>
      </c>
      <c r="S128" s="59">
        <f ca="1">AVERAGE(OFFSET($R$3,0,0,'Données projet'!$E$9+1,1))-AVERAGE(OFFSET($H$3,0,0,'Données projet'!$E$9+1,1))</f>
        <v>252.28378247570731</v>
      </c>
      <c r="T128" s="59">
        <f t="shared" si="88"/>
        <v>263.50418595307343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4.4734586898138087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2.0278542757730765E-13</v>
      </c>
      <c r="AC128" s="22">
        <f t="shared" si="57"/>
        <v>4.4734586898140112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 t="e">
        <f>AI128*VLOOKUP('Données projet'!$B$10,Paramètres!$A$1:$I$89,3,0)*VLOOKUP('Données projet'!$B$10,Paramètres!$A$1:$I$89,5,0)</f>
        <v>#N/A</v>
      </c>
      <c r="AK128" s="13" t="e">
        <f t="shared" si="89"/>
        <v>#N/A</v>
      </c>
      <c r="AL128" s="20" t="e">
        <f t="shared" si="58"/>
        <v>#N/A</v>
      </c>
      <c r="AM128" s="59" t="e">
        <f t="shared" si="59"/>
        <v>#N/A</v>
      </c>
      <c r="AN128" s="59" t="e">
        <f ca="1">AVERAGE(OFFSET($AM$3,0,0,'Données projet'!$E$10+1,1))-AVERAGE(OFFSET($H$3,0,0,'Données projet'!$E$10+1,1))</f>
        <v>#N/A</v>
      </c>
      <c r="AO128" s="59" t="e">
        <f t="shared" si="90"/>
        <v>#N/A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 t="e">
        <f>EXP(-LN(2)/35)*AU127+(1-EXP(-LN(2)/35))/(LN(2)/35)*AQ128*AR128*VLOOKUP('Données projet'!$B$10,Paramètres!$A$1:$I$89,3,0)*0.475*44/12</f>
        <v>#N/A</v>
      </c>
      <c r="AV128" s="21" t="e">
        <f>EXP(-LN(2)/25)*AV127+(1-EXP(-LN(2)/25))/(LN(2)/25)*Calculateur!AQ128*Calculateur!AS128*VLOOKUP('Données projet'!$B$10,Paramètres!$A$1:$I$89,3,0)*0.475*44/12</f>
        <v>#N/A</v>
      </c>
      <c r="AW128" s="21" t="e">
        <f>EXP(-LN(2)/2)*AW127+(1-EXP(-LN(2)/2))/(LN(2)/2)*AQ128*AT128*VLOOKUP('Données projet'!$B$10,Paramètres!$A$1:$I$89,3,0)*0.475*44/12</f>
        <v>#N/A</v>
      </c>
      <c r="AX128" s="21" t="e">
        <f t="shared" si="60"/>
        <v>#N/A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1">
        <f t="shared" si="86"/>
        <v>19.374160697102734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7">
        <f t="shared" si="56"/>
        <v>446.89636321412058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4.5474735088646412E-13</v>
      </c>
      <c r="O129" s="13">
        <f>N129*VLOOKUP('Données projet'!$B$9,Paramètres!$A$1:$I$89,3,0)*VLOOKUP('Données projet'!$B$9,Paramètres!$A$1:$I$89,5,0)</f>
        <v>2.7193891583010558E-13</v>
      </c>
      <c r="P129" s="13">
        <f t="shared" si="87"/>
        <v>3.6362267729089988E-12</v>
      </c>
      <c r="Q129" s="20">
        <f t="shared" si="107"/>
        <v>6.8067219078872727E-12</v>
      </c>
      <c r="R129" s="59">
        <f t="shared" si="55"/>
        <v>293.33333333334014</v>
      </c>
      <c r="S129" s="59">
        <f ca="1">AVERAGE(OFFSET($R$3,0,0,'Données projet'!$E$9+1,1))-AVERAGE(OFFSET($H$3,0,0,'Données projet'!$E$9+1,1))</f>
        <v>252.28378247570731</v>
      </c>
      <c r="T129" s="59">
        <f t="shared" si="88"/>
        <v>263.50418595307343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4.3857368934469401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1.4339095096572776E-13</v>
      </c>
      <c r="AC129" s="22">
        <f t="shared" si="57"/>
        <v>4.3857368934470831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 t="e">
        <f>AI129*VLOOKUP('Données projet'!$B$10,Paramètres!$A$1:$I$89,3,0)*VLOOKUP('Données projet'!$B$10,Paramètres!$A$1:$I$89,5,0)</f>
        <v>#N/A</v>
      </c>
      <c r="AK129" s="13" t="e">
        <f t="shared" si="89"/>
        <v>#N/A</v>
      </c>
      <c r="AL129" s="20" t="e">
        <f t="shared" si="58"/>
        <v>#N/A</v>
      </c>
      <c r="AM129" s="59" t="e">
        <f t="shared" si="59"/>
        <v>#N/A</v>
      </c>
      <c r="AN129" s="59" t="e">
        <f ca="1">AVERAGE(OFFSET($AM$3,0,0,'Données projet'!$E$10+1,1))-AVERAGE(OFFSET($H$3,0,0,'Données projet'!$E$10+1,1))</f>
        <v>#N/A</v>
      </c>
      <c r="AO129" s="59" t="e">
        <f t="shared" si="90"/>
        <v>#N/A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 t="e">
        <f>EXP(-LN(2)/35)*AU128+(1-EXP(-LN(2)/35))/(LN(2)/35)*AQ129*AR129*VLOOKUP('Données projet'!$B$10,Paramètres!$A$1:$I$89,3,0)*0.475*44/12</f>
        <v>#N/A</v>
      </c>
      <c r="AV129" s="21" t="e">
        <f>EXP(-LN(2)/25)*AV128+(1-EXP(-LN(2)/25))/(LN(2)/25)*Calculateur!AQ129*Calculateur!AS129*VLOOKUP('Données projet'!$B$10,Paramètres!$A$1:$I$89,3,0)*0.475*44/12</f>
        <v>#N/A</v>
      </c>
      <c r="AW129" s="21" t="e">
        <f>EXP(-LN(2)/2)*AW128+(1-EXP(-LN(2)/2))/(LN(2)/2)*AQ129*AT129*VLOOKUP('Données projet'!$B$10,Paramètres!$A$1:$I$89,3,0)*0.475*44/12</f>
        <v>#N/A</v>
      </c>
      <c r="AX129" s="21" t="e">
        <f t="shared" si="60"/>
        <v>#N/A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1">
        <f t="shared" si="86"/>
        <v>19.509963270886551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7">
        <f t="shared" si="56"/>
        <v>448.08383603012737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4.5474735088646412E-13</v>
      </c>
      <c r="O130" s="13">
        <f>N130*VLOOKUP('Données projet'!$B$9,Paramètres!$A$1:$I$89,3,0)*VLOOKUP('Données projet'!$B$9,Paramètres!$A$1:$I$89,5,0)</f>
        <v>2.7193891583010558E-13</v>
      </c>
      <c r="P130" s="13">
        <f t="shared" si="87"/>
        <v>3.6362267729089988E-12</v>
      </c>
      <c r="Q130" s="20">
        <f t="shared" si="107"/>
        <v>6.8067219078872727E-12</v>
      </c>
      <c r="R130" s="59">
        <f t="shared" si="55"/>
        <v>293.33333333334014</v>
      </c>
      <c r="S130" s="59">
        <f ca="1">AVERAGE(OFFSET($R$3,0,0,'Données projet'!$E$9+1,1))-AVERAGE(OFFSET($H$3,0,0,'Données projet'!$E$9+1,1))</f>
        <v>252.28378247570731</v>
      </c>
      <c r="T130" s="59">
        <f t="shared" si="88"/>
        <v>263.50418595307343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4.2997352680018128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1.0139271378865383E-13</v>
      </c>
      <c r="AC130" s="22">
        <f t="shared" si="57"/>
        <v>4.2997352680019141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 t="e">
        <f>AI130*VLOOKUP('Données projet'!$B$10,Paramètres!$A$1:$I$89,3,0)*VLOOKUP('Données projet'!$B$10,Paramètres!$A$1:$I$89,5,0)</f>
        <v>#N/A</v>
      </c>
      <c r="AK130" s="13" t="e">
        <f t="shared" si="89"/>
        <v>#N/A</v>
      </c>
      <c r="AL130" s="20" t="e">
        <f t="shared" si="58"/>
        <v>#N/A</v>
      </c>
      <c r="AM130" s="59" t="e">
        <f t="shared" si="59"/>
        <v>#N/A</v>
      </c>
      <c r="AN130" s="59" t="e">
        <f ca="1">AVERAGE(OFFSET($AM$3,0,0,'Données projet'!$E$10+1,1))-AVERAGE(OFFSET($H$3,0,0,'Données projet'!$E$10+1,1))</f>
        <v>#N/A</v>
      </c>
      <c r="AO130" s="59" t="e">
        <f t="shared" si="90"/>
        <v>#N/A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 t="e">
        <f>EXP(-LN(2)/35)*AU129+(1-EXP(-LN(2)/35))/(LN(2)/35)*AQ130*AR130*VLOOKUP('Données projet'!$B$10,Paramètres!$A$1:$I$89,3,0)*0.475*44/12</f>
        <v>#N/A</v>
      </c>
      <c r="AV130" s="21" t="e">
        <f>EXP(-LN(2)/25)*AV129+(1-EXP(-LN(2)/25))/(LN(2)/25)*Calculateur!AQ130*Calculateur!AS130*VLOOKUP('Données projet'!$B$10,Paramètres!$A$1:$I$89,3,0)*0.475*44/12</f>
        <v>#N/A</v>
      </c>
      <c r="AW130" s="21" t="e">
        <f>EXP(-LN(2)/2)*AW129+(1-EXP(-LN(2)/2))/(LN(2)/2)*AQ130*AT130*VLOOKUP('Données projet'!$B$10,Paramètres!$A$1:$I$89,3,0)*0.475*44/12</f>
        <v>#N/A</v>
      </c>
      <c r="AX130" s="21" t="e">
        <f t="shared" si="60"/>
        <v>#N/A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1">
        <f t="shared" si="86"/>
        <v>19.645641432461961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7">
        <f t="shared" si="56"/>
        <v>449.27109216153792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4.5474735088646412E-13</v>
      </c>
      <c r="O131" s="13">
        <f>N131*VLOOKUP('Données projet'!$B$9,Paramètres!$A$1:$I$89,3,0)*VLOOKUP('Données projet'!$B$9,Paramètres!$A$1:$I$89,5,0)</f>
        <v>2.7193891583010558E-13</v>
      </c>
      <c r="P131" s="13">
        <f t="shared" si="87"/>
        <v>3.6362267729089988E-12</v>
      </c>
      <c r="Q131" s="20">
        <f t="shared" ref="Q131:Q153" si="108">(O131+P131)*0.475*44/12</f>
        <v>6.8067219078872727E-12</v>
      </c>
      <c r="R131" s="59">
        <f t="shared" ref="R131:R194" si="109">Q131+(I131+J131)*44/12</f>
        <v>293.33333333334014</v>
      </c>
      <c r="S131" s="59">
        <f ca="1">AVERAGE(OFFSET($R$3,0,0,'Données projet'!$E$9+1,1))-AVERAGE(OFFSET($H$3,0,0,'Données projet'!$E$9+1,1))</f>
        <v>252.28378247570731</v>
      </c>
      <c r="T131" s="59">
        <f t="shared" si="88"/>
        <v>263.50418595307343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4.2154200819758527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7.1695475482863881E-14</v>
      </c>
      <c r="AC131" s="22">
        <f t="shared" si="57"/>
        <v>4.2154200819759247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 t="e">
        <f>AI131*VLOOKUP('Données projet'!$B$10,Paramètres!$A$1:$I$89,3,0)*VLOOKUP('Données projet'!$B$10,Paramètres!$A$1:$I$89,5,0)</f>
        <v>#N/A</v>
      </c>
      <c r="AK131" s="13" t="e">
        <f t="shared" si="89"/>
        <v>#N/A</v>
      </c>
      <c r="AL131" s="20" t="e">
        <f t="shared" si="58"/>
        <v>#N/A</v>
      </c>
      <c r="AM131" s="59" t="e">
        <f t="shared" si="59"/>
        <v>#N/A</v>
      </c>
      <c r="AN131" s="59" t="e">
        <f ca="1">AVERAGE(OFFSET($AM$3,0,0,'Données projet'!$E$10+1,1))-AVERAGE(OFFSET($H$3,0,0,'Données projet'!$E$10+1,1))</f>
        <v>#N/A</v>
      </c>
      <c r="AO131" s="59" t="e">
        <f t="shared" si="90"/>
        <v>#N/A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 t="e">
        <f>EXP(-LN(2)/35)*AU130+(1-EXP(-LN(2)/35))/(LN(2)/35)*AQ131*AR131*VLOOKUP('Données projet'!$B$10,Paramètres!$A$1:$I$89,3,0)*0.475*44/12</f>
        <v>#N/A</v>
      </c>
      <c r="AV131" s="21" t="e">
        <f>EXP(-LN(2)/25)*AV130+(1-EXP(-LN(2)/25))/(LN(2)/25)*Calculateur!AQ131*Calculateur!AS131*VLOOKUP('Données projet'!$B$10,Paramètres!$A$1:$I$89,3,0)*0.475*44/12</f>
        <v>#N/A</v>
      </c>
      <c r="AW131" s="21" t="e">
        <f>EXP(-LN(2)/2)*AW130+(1-EXP(-LN(2)/2))/(LN(2)/2)*AQ131*AT131*VLOOKUP('Données projet'!$B$10,Paramètres!$A$1:$I$89,3,0)*0.475*44/12</f>
        <v>#N/A</v>
      </c>
      <c r="AX131" s="21" t="e">
        <f t="shared" si="60"/>
        <v>#N/A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1">
        <f t="shared" si="86"/>
        <v>19.78119626646561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7">
        <f t="shared" ref="H132:H195" si="110">(B132+E132+F132)*44/12+(C132+D132)*0.475*44/12</f>
        <v>450.45813349742764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4.5474735088646412E-13</v>
      </c>
      <c r="O132" s="13">
        <f>N132*VLOOKUP('Données projet'!$B$9,Paramètres!$A$1:$I$89,3,0)*VLOOKUP('Données projet'!$B$9,Paramètres!$A$1:$I$89,5,0)</f>
        <v>2.7193891583010558E-13</v>
      </c>
      <c r="P132" s="13">
        <f t="shared" si="87"/>
        <v>3.6362267729089988E-12</v>
      </c>
      <c r="Q132" s="20">
        <f t="shared" si="108"/>
        <v>6.8067219078872727E-12</v>
      </c>
      <c r="R132" s="59">
        <f t="shared" si="109"/>
        <v>293.33333333334014</v>
      </c>
      <c r="S132" s="59">
        <f ca="1">AVERAGE(OFFSET($R$3,0,0,'Données projet'!$E$9+1,1))-AVERAGE(OFFSET($H$3,0,0,'Données projet'!$E$9+1,1))</f>
        <v>252.28378247570731</v>
      </c>
      <c r="T132" s="59">
        <f t="shared" si="88"/>
        <v>263.50418595307343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4.1327582653206765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5.0696356894326914E-14</v>
      </c>
      <c r="AC132" s="22">
        <f t="shared" ref="AC132:AC153" si="111">SUM(Z132:AB132)</f>
        <v>4.1327582653207271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 t="e">
        <f>AI132*VLOOKUP('Données projet'!$B$10,Paramètres!$A$1:$I$89,3,0)*VLOOKUP('Données projet'!$B$10,Paramètres!$A$1:$I$89,5,0)</f>
        <v>#N/A</v>
      </c>
      <c r="AK132" s="13" t="e">
        <f t="shared" si="89"/>
        <v>#N/A</v>
      </c>
      <c r="AL132" s="20" t="e">
        <f t="shared" ref="AL132:AL153" si="112">(AJ132+AK132)*0.475*44/12</f>
        <v>#N/A</v>
      </c>
      <c r="AM132" s="59" t="e">
        <f t="shared" ref="AM132:AM195" si="113">AL132+(AD132+AE132)*44/12</f>
        <v>#N/A</v>
      </c>
      <c r="AN132" s="59" t="e">
        <f ca="1">AVERAGE(OFFSET($AM$3,0,0,'Données projet'!$E$10+1,1))-AVERAGE(OFFSET($H$3,0,0,'Données projet'!$E$10+1,1))</f>
        <v>#N/A</v>
      </c>
      <c r="AO132" s="59" t="e">
        <f t="shared" si="90"/>
        <v>#N/A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 t="e">
        <f>EXP(-LN(2)/35)*AU131+(1-EXP(-LN(2)/35))/(LN(2)/35)*AQ132*AR132*VLOOKUP('Données projet'!$B$10,Paramètres!$A$1:$I$89,3,0)*0.475*44/12</f>
        <v>#N/A</v>
      </c>
      <c r="AV132" s="21" t="e">
        <f>EXP(-LN(2)/25)*AV131+(1-EXP(-LN(2)/25))/(LN(2)/25)*Calculateur!AQ132*Calculateur!AS132*VLOOKUP('Données projet'!$B$10,Paramètres!$A$1:$I$89,3,0)*0.475*44/12</f>
        <v>#N/A</v>
      </c>
      <c r="AW132" s="21" t="e">
        <f>EXP(-LN(2)/2)*AW131+(1-EXP(-LN(2)/2))/(LN(2)/2)*AQ132*AT132*VLOOKUP('Données projet'!$B$10,Paramètres!$A$1:$I$89,3,0)*0.475*44/12</f>
        <v>#N/A</v>
      </c>
      <c r="AX132" s="21" t="e">
        <f t="shared" ref="AX132:AX153" si="114">SUM(AU132:AW132)</f>
        <v>#N/A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1">
        <f t="shared" ref="D133:D196" si="140">IFERROR(EXP(-1.0587+0.8836*LN(C133)+0.284),0)</f>
        <v>19.916628839746853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7">
        <f t="shared" si="110"/>
        <v>451.64496189589244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4.5474735088646412E-13</v>
      </c>
      <c r="O133" s="13">
        <f>N133*VLOOKUP('Données projet'!$B$9,Paramètres!$A$1:$I$89,3,0)*VLOOKUP('Données projet'!$B$9,Paramètres!$A$1:$I$89,5,0)</f>
        <v>2.7193891583010558E-13</v>
      </c>
      <c r="P133" s="13">
        <f t="shared" ref="P133:P196" si="141">EXP(-1.0587+0.8836*LN(O133)+0.284)</f>
        <v>3.6362267729089988E-12</v>
      </c>
      <c r="Q133" s="20">
        <f t="shared" si="108"/>
        <v>6.8067219078872727E-12</v>
      </c>
      <c r="R133" s="59">
        <f t="shared" si="109"/>
        <v>293.33333333334014</v>
      </c>
      <c r="S133" s="59">
        <f ca="1">AVERAGE(OFFSET($R$3,0,0,'Données projet'!$E$9+1,1))-AVERAGE(OFFSET($H$3,0,0,'Données projet'!$E$9+1,1))</f>
        <v>252.28378247570731</v>
      </c>
      <c r="T133" s="59">
        <f t="shared" ref="T133:T196" si="142">$T$3</f>
        <v>263.50418595307343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4.0517173964713784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3.5847737741431941E-14</v>
      </c>
      <c r="AC133" s="22">
        <f t="shared" si="111"/>
        <v>4.0517173964714139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 t="e">
        <f>AI133*VLOOKUP('Données projet'!$B$10,Paramètres!$A$1:$I$89,3,0)*VLOOKUP('Données projet'!$B$10,Paramètres!$A$1:$I$89,5,0)</f>
        <v>#N/A</v>
      </c>
      <c r="AK133" s="13" t="e">
        <f t="shared" ref="AK133:AK153" si="143">EXP(-1.0587+0.8836*LN(AJ133)+0.284)</f>
        <v>#N/A</v>
      </c>
      <c r="AL133" s="20" t="e">
        <f t="shared" si="112"/>
        <v>#N/A</v>
      </c>
      <c r="AM133" s="59" t="e">
        <f t="shared" si="113"/>
        <v>#N/A</v>
      </c>
      <c r="AN133" s="59" t="e">
        <f ca="1">AVERAGE(OFFSET($AM$3,0,0,'Données projet'!$E$10+1,1))-AVERAGE(OFFSET($H$3,0,0,'Données projet'!$E$10+1,1))</f>
        <v>#N/A</v>
      </c>
      <c r="AO133" s="59" t="e">
        <f t="shared" ref="AO133:AO196" si="144">$AO$3</f>
        <v>#N/A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 t="e">
        <f>EXP(-LN(2)/35)*AU132+(1-EXP(-LN(2)/35))/(LN(2)/35)*AQ133*AR133*VLOOKUP('Données projet'!$B$10,Paramètres!$A$1:$I$89,3,0)*0.475*44/12</f>
        <v>#N/A</v>
      </c>
      <c r="AV133" s="21" t="e">
        <f>EXP(-LN(2)/25)*AV132+(1-EXP(-LN(2)/25))/(LN(2)/25)*Calculateur!AQ133*Calculateur!AS133*VLOOKUP('Données projet'!$B$10,Paramètres!$A$1:$I$89,3,0)*0.475*44/12</f>
        <v>#N/A</v>
      </c>
      <c r="AW133" s="21" t="e">
        <f>EXP(-LN(2)/2)*AW132+(1-EXP(-LN(2)/2))/(LN(2)/2)*AQ133*AT133*VLOOKUP('Données projet'!$B$10,Paramètres!$A$1:$I$89,3,0)*0.475*44/12</f>
        <v>#N/A</v>
      </c>
      <c r="AX133" s="21" t="e">
        <f t="shared" si="114"/>
        <v>#N/A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1">
        <f t="shared" si="140"/>
        <v>20.051940201794032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7">
        <f t="shared" si="110"/>
        <v>452.83157918479128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4.5474735088646412E-13</v>
      </c>
      <c r="O134" s="13">
        <f>N134*VLOOKUP('Données projet'!$B$9,Paramètres!$A$1:$I$89,3,0)*VLOOKUP('Données projet'!$B$9,Paramètres!$A$1:$I$89,5,0)</f>
        <v>2.7193891583010558E-13</v>
      </c>
      <c r="P134" s="13">
        <f t="shared" si="141"/>
        <v>3.6362267729089988E-12</v>
      </c>
      <c r="Q134" s="20">
        <f t="shared" si="108"/>
        <v>6.8067219078872727E-12</v>
      </c>
      <c r="R134" s="59">
        <f t="shared" si="109"/>
        <v>293.33333333334014</v>
      </c>
      <c r="S134" s="59">
        <f ca="1">AVERAGE(OFFSET($R$3,0,0,'Données projet'!$E$9+1,1))-AVERAGE(OFFSET($H$3,0,0,'Données projet'!$E$9+1,1))</f>
        <v>252.28378247570731</v>
      </c>
      <c r="T134" s="59">
        <f t="shared" si="142"/>
        <v>263.50418595307343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3.9722656896301656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2.5348178447163457E-14</v>
      </c>
      <c r="AC134" s="22">
        <f t="shared" si="111"/>
        <v>3.9722656896301909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 t="e">
        <f>AI134*VLOOKUP('Données projet'!$B$10,Paramètres!$A$1:$I$89,3,0)*VLOOKUP('Données projet'!$B$10,Paramètres!$A$1:$I$89,5,0)</f>
        <v>#N/A</v>
      </c>
      <c r="AK134" s="13" t="e">
        <f t="shared" si="143"/>
        <v>#N/A</v>
      </c>
      <c r="AL134" s="20" t="e">
        <f t="shared" si="112"/>
        <v>#N/A</v>
      </c>
      <c r="AM134" s="59" t="e">
        <f t="shared" si="113"/>
        <v>#N/A</v>
      </c>
      <c r="AN134" s="59" t="e">
        <f ca="1">AVERAGE(OFFSET($AM$3,0,0,'Données projet'!$E$10+1,1))-AVERAGE(OFFSET($H$3,0,0,'Données projet'!$E$10+1,1))</f>
        <v>#N/A</v>
      </c>
      <c r="AO134" s="59" t="e">
        <f t="shared" si="144"/>
        <v>#N/A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 t="e">
        <f>EXP(-LN(2)/35)*AU133+(1-EXP(-LN(2)/35))/(LN(2)/35)*AQ134*AR134*VLOOKUP('Données projet'!$B$10,Paramètres!$A$1:$I$89,3,0)*0.475*44/12</f>
        <v>#N/A</v>
      </c>
      <c r="AV134" s="21" t="e">
        <f>EXP(-LN(2)/25)*AV133+(1-EXP(-LN(2)/25))/(LN(2)/25)*Calculateur!AQ134*Calculateur!AS134*VLOOKUP('Données projet'!$B$10,Paramètres!$A$1:$I$89,3,0)*0.475*44/12</f>
        <v>#N/A</v>
      </c>
      <c r="AW134" s="21" t="e">
        <f>EXP(-LN(2)/2)*AW133+(1-EXP(-LN(2)/2))/(LN(2)/2)*AQ134*AT134*VLOOKUP('Données projet'!$B$10,Paramètres!$A$1:$I$89,3,0)*0.475*44/12</f>
        <v>#N/A</v>
      </c>
      <c r="AX134" s="21" t="e">
        <f t="shared" si="114"/>
        <v>#N/A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1">
        <f t="shared" si="140"/>
        <v>20.187131385147271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7">
        <f t="shared" si="110"/>
        <v>454.01798716246486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4.5474735088646412E-13</v>
      </c>
      <c r="O135" s="13">
        <f>N135*VLOOKUP('Données projet'!$B$9,Paramètres!$A$1:$I$89,3,0)*VLOOKUP('Données projet'!$B$9,Paramètres!$A$1:$I$89,5,0)</f>
        <v>2.7193891583010558E-13</v>
      </c>
      <c r="P135" s="13">
        <f t="shared" si="141"/>
        <v>3.6362267729089988E-12</v>
      </c>
      <c r="Q135" s="20">
        <f t="shared" si="108"/>
        <v>6.8067219078872727E-12</v>
      </c>
      <c r="R135" s="59">
        <f t="shared" si="109"/>
        <v>293.33333333334014</v>
      </c>
      <c r="S135" s="59">
        <f ca="1">AVERAGE(OFFSET($R$3,0,0,'Données projet'!$E$9+1,1))-AVERAGE(OFFSET($H$3,0,0,'Données projet'!$E$9+1,1))</f>
        <v>252.28378247570731</v>
      </c>
      <c r="T135" s="59">
        <f t="shared" si="142"/>
        <v>263.50418595307343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3.894371982299353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1.792386887071597E-14</v>
      </c>
      <c r="AC135" s="22">
        <f t="shared" si="111"/>
        <v>3.8943719822993708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 t="e">
        <f>AI135*VLOOKUP('Données projet'!$B$10,Paramètres!$A$1:$I$89,3,0)*VLOOKUP('Données projet'!$B$10,Paramètres!$A$1:$I$89,5,0)</f>
        <v>#N/A</v>
      </c>
      <c r="AK135" s="13" t="e">
        <f t="shared" si="143"/>
        <v>#N/A</v>
      </c>
      <c r="AL135" s="20" t="e">
        <f t="shared" si="112"/>
        <v>#N/A</v>
      </c>
      <c r="AM135" s="59" t="e">
        <f t="shared" si="113"/>
        <v>#N/A</v>
      </c>
      <c r="AN135" s="59" t="e">
        <f ca="1">AVERAGE(OFFSET($AM$3,0,0,'Données projet'!$E$10+1,1))-AVERAGE(OFFSET($H$3,0,0,'Données projet'!$E$10+1,1))</f>
        <v>#N/A</v>
      </c>
      <c r="AO135" s="59" t="e">
        <f t="shared" si="144"/>
        <v>#N/A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 t="e">
        <f>EXP(-LN(2)/35)*AU134+(1-EXP(-LN(2)/35))/(LN(2)/35)*AQ135*AR135*VLOOKUP('Données projet'!$B$10,Paramètres!$A$1:$I$89,3,0)*0.475*44/12</f>
        <v>#N/A</v>
      </c>
      <c r="AV135" s="21" t="e">
        <f>EXP(-LN(2)/25)*AV134+(1-EXP(-LN(2)/25))/(LN(2)/25)*Calculateur!AQ135*Calculateur!AS135*VLOOKUP('Données projet'!$B$10,Paramètres!$A$1:$I$89,3,0)*0.475*44/12</f>
        <v>#N/A</v>
      </c>
      <c r="AW135" s="21" t="e">
        <f>EXP(-LN(2)/2)*AW134+(1-EXP(-LN(2)/2))/(LN(2)/2)*AQ135*AT135*VLOOKUP('Données projet'!$B$10,Paramètres!$A$1:$I$89,3,0)*0.475*44/12</f>
        <v>#N/A</v>
      </c>
      <c r="AX135" s="21" t="e">
        <f t="shared" si="114"/>
        <v>#N/A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1">
        <f t="shared" si="140"/>
        <v>20.322203405798462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7">
        <f t="shared" si="110"/>
        <v>455.20418759843233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4.5474735088646412E-13</v>
      </c>
      <c r="O136" s="13">
        <f>N136*VLOOKUP('Données projet'!$B$9,Paramètres!$A$1:$I$89,3,0)*VLOOKUP('Données projet'!$B$9,Paramètres!$A$1:$I$89,5,0)</f>
        <v>2.7193891583010558E-13</v>
      </c>
      <c r="P136" s="13">
        <f t="shared" si="141"/>
        <v>3.6362267729089988E-12</v>
      </c>
      <c r="Q136" s="20">
        <f t="shared" si="108"/>
        <v>6.8067219078872727E-12</v>
      </c>
      <c r="R136" s="59">
        <f t="shared" si="109"/>
        <v>293.33333333334014</v>
      </c>
      <c r="S136" s="59">
        <f ca="1">AVERAGE(OFFSET($R$3,0,0,'Données projet'!$E$9+1,1))-AVERAGE(OFFSET($H$3,0,0,'Données projet'!$E$9+1,1))</f>
        <v>252.28378247570731</v>
      </c>
      <c r="T136" s="59">
        <f t="shared" si="142"/>
        <v>263.50418595307343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3.8180057230588273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1.2674089223581728E-14</v>
      </c>
      <c r="AC136" s="22">
        <f t="shared" si="111"/>
        <v>3.8180057230588402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 t="e">
        <f>AI136*VLOOKUP('Données projet'!$B$10,Paramètres!$A$1:$I$89,3,0)*VLOOKUP('Données projet'!$B$10,Paramètres!$A$1:$I$89,5,0)</f>
        <v>#N/A</v>
      </c>
      <c r="AK136" s="13" t="e">
        <f t="shared" si="143"/>
        <v>#N/A</v>
      </c>
      <c r="AL136" s="20" t="e">
        <f t="shared" si="112"/>
        <v>#N/A</v>
      </c>
      <c r="AM136" s="59" t="e">
        <f t="shared" si="113"/>
        <v>#N/A</v>
      </c>
      <c r="AN136" s="59" t="e">
        <f ca="1">AVERAGE(OFFSET($AM$3,0,0,'Données projet'!$E$10+1,1))-AVERAGE(OFFSET($H$3,0,0,'Données projet'!$E$10+1,1))</f>
        <v>#N/A</v>
      </c>
      <c r="AO136" s="59" t="e">
        <f t="shared" si="144"/>
        <v>#N/A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 t="e">
        <f>EXP(-LN(2)/35)*AU135+(1-EXP(-LN(2)/35))/(LN(2)/35)*AQ136*AR136*VLOOKUP('Données projet'!$B$10,Paramètres!$A$1:$I$89,3,0)*0.475*44/12</f>
        <v>#N/A</v>
      </c>
      <c r="AV136" s="21" t="e">
        <f>EXP(-LN(2)/25)*AV135+(1-EXP(-LN(2)/25))/(LN(2)/25)*Calculateur!AQ136*Calculateur!AS136*VLOOKUP('Données projet'!$B$10,Paramètres!$A$1:$I$89,3,0)*0.475*44/12</f>
        <v>#N/A</v>
      </c>
      <c r="AW136" s="21" t="e">
        <f>EXP(-LN(2)/2)*AW135+(1-EXP(-LN(2)/2))/(LN(2)/2)*AQ136*AT136*VLOOKUP('Données projet'!$B$10,Paramètres!$A$1:$I$89,3,0)*0.475*44/12</f>
        <v>#N/A</v>
      </c>
      <c r="AX136" s="21" t="e">
        <f t="shared" si="114"/>
        <v>#N/A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1">
        <f t="shared" si="140"/>
        <v>20.457157263578868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7">
        <f t="shared" si="110"/>
        <v>456.39018223406657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4.5474735088646412E-13</v>
      </c>
      <c r="O137" s="13">
        <f>N137*VLOOKUP('Données projet'!$B$9,Paramètres!$A$1:$I$89,3,0)*VLOOKUP('Données projet'!$B$9,Paramètres!$A$1:$I$89,5,0)</f>
        <v>2.7193891583010558E-13</v>
      </c>
      <c r="P137" s="13">
        <f t="shared" si="141"/>
        <v>3.6362267729089988E-12</v>
      </c>
      <c r="Q137" s="20">
        <f t="shared" si="108"/>
        <v>6.8067219078872727E-12</v>
      </c>
      <c r="R137" s="59">
        <f t="shared" si="109"/>
        <v>293.33333333334014</v>
      </c>
      <c r="S137" s="59">
        <f ca="1">AVERAGE(OFFSET($R$3,0,0,'Données projet'!$E$9+1,1))-AVERAGE(OFFSET($H$3,0,0,'Données projet'!$E$9+1,1))</f>
        <v>252.28378247570731</v>
      </c>
      <c r="T137" s="59">
        <f t="shared" si="142"/>
        <v>263.50418595307343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3.7431369595831896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8.9619344353579851E-15</v>
      </c>
      <c r="AC137" s="22">
        <f t="shared" si="111"/>
        <v>3.7431369595831985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 t="e">
        <f>AI137*VLOOKUP('Données projet'!$B$10,Paramètres!$A$1:$I$89,3,0)*VLOOKUP('Données projet'!$B$10,Paramètres!$A$1:$I$89,5,0)</f>
        <v>#N/A</v>
      </c>
      <c r="AK137" s="13" t="e">
        <f t="shared" si="143"/>
        <v>#N/A</v>
      </c>
      <c r="AL137" s="20" t="e">
        <f t="shared" si="112"/>
        <v>#N/A</v>
      </c>
      <c r="AM137" s="59" t="e">
        <f t="shared" si="113"/>
        <v>#N/A</v>
      </c>
      <c r="AN137" s="59" t="e">
        <f ca="1">AVERAGE(OFFSET($AM$3,0,0,'Données projet'!$E$10+1,1))-AVERAGE(OFFSET($H$3,0,0,'Données projet'!$E$10+1,1))</f>
        <v>#N/A</v>
      </c>
      <c r="AO137" s="59" t="e">
        <f t="shared" si="144"/>
        <v>#N/A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 t="e">
        <f>EXP(-LN(2)/35)*AU136+(1-EXP(-LN(2)/35))/(LN(2)/35)*AQ137*AR137*VLOOKUP('Données projet'!$B$10,Paramètres!$A$1:$I$89,3,0)*0.475*44/12</f>
        <v>#N/A</v>
      </c>
      <c r="AV137" s="21" t="e">
        <f>EXP(-LN(2)/25)*AV136+(1-EXP(-LN(2)/25))/(LN(2)/25)*Calculateur!AQ137*Calculateur!AS137*VLOOKUP('Données projet'!$B$10,Paramètres!$A$1:$I$89,3,0)*0.475*44/12</f>
        <v>#N/A</v>
      </c>
      <c r="AW137" s="21" t="e">
        <f>EXP(-LN(2)/2)*AW136+(1-EXP(-LN(2)/2))/(LN(2)/2)*AQ137*AT137*VLOOKUP('Données projet'!$B$10,Paramètres!$A$1:$I$89,3,0)*0.475*44/12</f>
        <v>#N/A</v>
      </c>
      <c r="AX137" s="21" t="e">
        <f t="shared" si="114"/>
        <v>#N/A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1">
        <f t="shared" si="140"/>
        <v>20.591993942534774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7">
        <f t="shared" si="110"/>
        <v>457.57597278324812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4.5474735088646412E-13</v>
      </c>
      <c r="O138" s="13">
        <f>N138*VLOOKUP('Données projet'!$B$9,Paramètres!$A$1:$I$89,3,0)*VLOOKUP('Données projet'!$B$9,Paramètres!$A$1:$I$89,5,0)</f>
        <v>2.7193891583010558E-13</v>
      </c>
      <c r="P138" s="13">
        <f t="shared" si="141"/>
        <v>3.6362267729089988E-12</v>
      </c>
      <c r="Q138" s="20">
        <f t="shared" si="108"/>
        <v>6.8067219078872727E-12</v>
      </c>
      <c r="R138" s="59">
        <f t="shared" si="109"/>
        <v>293.33333333334014</v>
      </c>
      <c r="S138" s="59">
        <f ca="1">AVERAGE(OFFSET($R$3,0,0,'Données projet'!$E$9+1,1))-AVERAGE(OFFSET($H$3,0,0,'Données projet'!$E$9+1,1))</f>
        <v>252.28378247570731</v>
      </c>
      <c r="T138" s="59">
        <f t="shared" si="142"/>
        <v>263.50418595307343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3.6697363268938723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6.3370446117908642E-15</v>
      </c>
      <c r="AC138" s="22">
        <f t="shared" si="111"/>
        <v>3.6697363268938785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 t="e">
        <f>AI138*VLOOKUP('Données projet'!$B$10,Paramètres!$A$1:$I$89,3,0)*VLOOKUP('Données projet'!$B$10,Paramètres!$A$1:$I$89,5,0)</f>
        <v>#N/A</v>
      </c>
      <c r="AK138" s="13" t="e">
        <f t="shared" si="143"/>
        <v>#N/A</v>
      </c>
      <c r="AL138" s="20" t="e">
        <f t="shared" si="112"/>
        <v>#N/A</v>
      </c>
      <c r="AM138" s="59" t="e">
        <f t="shared" si="113"/>
        <v>#N/A</v>
      </c>
      <c r="AN138" s="59" t="e">
        <f ca="1">AVERAGE(OFFSET($AM$3,0,0,'Données projet'!$E$10+1,1))-AVERAGE(OFFSET($H$3,0,0,'Données projet'!$E$10+1,1))</f>
        <v>#N/A</v>
      </c>
      <c r="AO138" s="59" t="e">
        <f t="shared" si="144"/>
        <v>#N/A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 t="e">
        <f>EXP(-LN(2)/35)*AU137+(1-EXP(-LN(2)/35))/(LN(2)/35)*AQ138*AR138*VLOOKUP('Données projet'!$B$10,Paramètres!$A$1:$I$89,3,0)*0.475*44/12</f>
        <v>#N/A</v>
      </c>
      <c r="AV138" s="21" t="e">
        <f>EXP(-LN(2)/25)*AV137+(1-EXP(-LN(2)/25))/(LN(2)/25)*Calculateur!AQ138*Calculateur!AS138*VLOOKUP('Données projet'!$B$10,Paramètres!$A$1:$I$89,3,0)*0.475*44/12</f>
        <v>#N/A</v>
      </c>
      <c r="AW138" s="21" t="e">
        <f>EXP(-LN(2)/2)*AW137+(1-EXP(-LN(2)/2))/(LN(2)/2)*AQ138*AT138*VLOOKUP('Données projet'!$B$10,Paramètres!$A$1:$I$89,3,0)*0.475*44/12</f>
        <v>#N/A</v>
      </c>
      <c r="AX138" s="21" t="e">
        <f t="shared" si="114"/>
        <v>#N/A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1">
        <f t="shared" si="140"/>
        <v>20.726714411291841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7">
        <f t="shared" si="110"/>
        <v>458.76156093300006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4.5474735088646412E-13</v>
      </c>
      <c r="O139" s="13">
        <f>N139*VLOOKUP('Données projet'!$B$9,Paramètres!$A$1:$I$89,3,0)*VLOOKUP('Données projet'!$B$9,Paramètres!$A$1:$I$89,5,0)</f>
        <v>2.7193891583010558E-13</v>
      </c>
      <c r="P139" s="13">
        <f t="shared" si="141"/>
        <v>3.6362267729089988E-12</v>
      </c>
      <c r="Q139" s="20">
        <f t="shared" si="108"/>
        <v>6.8067219078872727E-12</v>
      </c>
      <c r="R139" s="59">
        <f t="shared" si="109"/>
        <v>293.33333333334014</v>
      </c>
      <c r="S139" s="59">
        <f ca="1">AVERAGE(OFFSET($R$3,0,0,'Données projet'!$E$9+1,1))-AVERAGE(OFFSET($H$3,0,0,'Données projet'!$E$9+1,1))</f>
        <v>252.28378247570731</v>
      </c>
      <c r="T139" s="59">
        <f t="shared" si="142"/>
        <v>263.50418595307343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3.5977750358416274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4.4809672176789926E-15</v>
      </c>
      <c r="AC139" s="22">
        <f t="shared" si="111"/>
        <v>3.5977750358416318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 t="e">
        <f>AI139*VLOOKUP('Données projet'!$B$10,Paramètres!$A$1:$I$89,3,0)*VLOOKUP('Données projet'!$B$10,Paramètres!$A$1:$I$89,5,0)</f>
        <v>#N/A</v>
      </c>
      <c r="AK139" s="13" t="e">
        <f t="shared" si="143"/>
        <v>#N/A</v>
      </c>
      <c r="AL139" s="20" t="e">
        <f t="shared" si="112"/>
        <v>#N/A</v>
      </c>
      <c r="AM139" s="59" t="e">
        <f t="shared" si="113"/>
        <v>#N/A</v>
      </c>
      <c r="AN139" s="59" t="e">
        <f ca="1">AVERAGE(OFFSET($AM$3,0,0,'Données projet'!$E$10+1,1))-AVERAGE(OFFSET($H$3,0,0,'Données projet'!$E$10+1,1))</f>
        <v>#N/A</v>
      </c>
      <c r="AO139" s="59" t="e">
        <f t="shared" si="144"/>
        <v>#N/A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 t="e">
        <f>EXP(-LN(2)/35)*AU138+(1-EXP(-LN(2)/35))/(LN(2)/35)*AQ139*AR139*VLOOKUP('Données projet'!$B$10,Paramètres!$A$1:$I$89,3,0)*0.475*44/12</f>
        <v>#N/A</v>
      </c>
      <c r="AV139" s="21" t="e">
        <f>EXP(-LN(2)/25)*AV138+(1-EXP(-LN(2)/25))/(LN(2)/25)*Calculateur!AQ139*Calculateur!AS139*VLOOKUP('Données projet'!$B$10,Paramètres!$A$1:$I$89,3,0)*0.475*44/12</f>
        <v>#N/A</v>
      </c>
      <c r="AW139" s="21" t="e">
        <f>EXP(-LN(2)/2)*AW138+(1-EXP(-LN(2)/2))/(LN(2)/2)*AQ139*AT139*VLOOKUP('Données projet'!$B$10,Paramètres!$A$1:$I$89,3,0)*0.475*44/12</f>
        <v>#N/A</v>
      </c>
      <c r="AX139" s="21" t="e">
        <f t="shared" si="114"/>
        <v>#N/A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1">
        <f t="shared" si="140"/>
        <v>20.861319623408168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7">
        <f t="shared" si="110"/>
        <v>459.94694834410268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4.5474735088646412E-13</v>
      </c>
      <c r="O140" s="13">
        <f>N140*VLOOKUP('Données projet'!$B$9,Paramètres!$A$1:$I$89,3,0)*VLOOKUP('Données projet'!$B$9,Paramètres!$A$1:$I$89,5,0)</f>
        <v>2.7193891583010558E-13</v>
      </c>
      <c r="P140" s="13">
        <f t="shared" si="141"/>
        <v>3.6362267729089988E-12</v>
      </c>
      <c r="Q140" s="20">
        <f t="shared" si="108"/>
        <v>6.8067219078872727E-12</v>
      </c>
      <c r="R140" s="59">
        <f t="shared" si="109"/>
        <v>293.33333333334014</v>
      </c>
      <c r="S140" s="59">
        <f ca="1">AVERAGE(OFFSET($R$3,0,0,'Données projet'!$E$9+1,1))-AVERAGE(OFFSET($H$3,0,0,'Données projet'!$E$9+1,1))</f>
        <v>252.28378247570731</v>
      </c>
      <c r="T140" s="59">
        <f t="shared" si="142"/>
        <v>263.50418595307343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3.5272248618148634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3.1685223058954321E-15</v>
      </c>
      <c r="AC140" s="22">
        <f t="shared" si="111"/>
        <v>3.5272248618148665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 t="e">
        <f>AI140*VLOOKUP('Données projet'!$B$10,Paramètres!$A$1:$I$89,3,0)*VLOOKUP('Données projet'!$B$10,Paramètres!$A$1:$I$89,5,0)</f>
        <v>#N/A</v>
      </c>
      <c r="AK140" s="13" t="e">
        <f t="shared" si="143"/>
        <v>#N/A</v>
      </c>
      <c r="AL140" s="20" t="e">
        <f t="shared" si="112"/>
        <v>#N/A</v>
      </c>
      <c r="AM140" s="59" t="e">
        <f t="shared" si="113"/>
        <v>#N/A</v>
      </c>
      <c r="AN140" s="59" t="e">
        <f ca="1">AVERAGE(OFFSET($AM$3,0,0,'Données projet'!$E$10+1,1))-AVERAGE(OFFSET($H$3,0,0,'Données projet'!$E$10+1,1))</f>
        <v>#N/A</v>
      </c>
      <c r="AO140" s="59" t="e">
        <f t="shared" si="144"/>
        <v>#N/A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 t="e">
        <f>EXP(-LN(2)/35)*AU139+(1-EXP(-LN(2)/35))/(LN(2)/35)*AQ140*AR140*VLOOKUP('Données projet'!$B$10,Paramètres!$A$1:$I$89,3,0)*0.475*44/12</f>
        <v>#N/A</v>
      </c>
      <c r="AV140" s="21" t="e">
        <f>EXP(-LN(2)/25)*AV139+(1-EXP(-LN(2)/25))/(LN(2)/25)*Calculateur!AQ140*Calculateur!AS140*VLOOKUP('Données projet'!$B$10,Paramètres!$A$1:$I$89,3,0)*0.475*44/12</f>
        <v>#N/A</v>
      </c>
      <c r="AW140" s="21" t="e">
        <f>EXP(-LN(2)/2)*AW139+(1-EXP(-LN(2)/2))/(LN(2)/2)*AQ140*AT140*VLOOKUP('Données projet'!$B$10,Paramètres!$A$1:$I$89,3,0)*0.475*44/12</f>
        <v>#N/A</v>
      </c>
      <c r="AX140" s="21" t="e">
        <f t="shared" si="114"/>
        <v>#N/A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1">
        <f t="shared" si="140"/>
        <v>20.995810517717057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7">
        <f t="shared" si="110"/>
        <v>461.13213665169064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4.5474735088646412E-13</v>
      </c>
      <c r="O141" s="13">
        <f>N141*VLOOKUP('Données projet'!$B$9,Paramètres!$A$1:$I$89,3,0)*VLOOKUP('Données projet'!$B$9,Paramètres!$A$1:$I$89,5,0)</f>
        <v>2.7193891583010558E-13</v>
      </c>
      <c r="P141" s="13">
        <f t="shared" si="141"/>
        <v>3.6362267729089988E-12</v>
      </c>
      <c r="Q141" s="20">
        <f t="shared" si="108"/>
        <v>6.8067219078872727E-12</v>
      </c>
      <c r="R141" s="59">
        <f t="shared" si="109"/>
        <v>293.33333333334014</v>
      </c>
      <c r="S141" s="59">
        <f ca="1">AVERAGE(OFFSET($R$3,0,0,'Données projet'!$E$9+1,1))-AVERAGE(OFFSET($H$3,0,0,'Données projet'!$E$9+1,1))</f>
        <v>252.28378247570731</v>
      </c>
      <c r="T141" s="59">
        <f t="shared" si="142"/>
        <v>263.50418595307343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3.458058133669407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2.2404836088394963E-15</v>
      </c>
      <c r="AC141" s="22">
        <f t="shared" si="111"/>
        <v>3.4580581336694092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 t="e">
        <f>AI141*VLOOKUP('Données projet'!$B$10,Paramètres!$A$1:$I$89,3,0)*VLOOKUP('Données projet'!$B$10,Paramètres!$A$1:$I$89,5,0)</f>
        <v>#N/A</v>
      </c>
      <c r="AK141" s="13" t="e">
        <f t="shared" si="143"/>
        <v>#N/A</v>
      </c>
      <c r="AL141" s="20" t="e">
        <f t="shared" si="112"/>
        <v>#N/A</v>
      </c>
      <c r="AM141" s="59" t="e">
        <f t="shared" si="113"/>
        <v>#N/A</v>
      </c>
      <c r="AN141" s="59" t="e">
        <f ca="1">AVERAGE(OFFSET($AM$3,0,0,'Données projet'!$E$10+1,1))-AVERAGE(OFFSET($H$3,0,0,'Données projet'!$E$10+1,1))</f>
        <v>#N/A</v>
      </c>
      <c r="AO141" s="59" t="e">
        <f t="shared" si="144"/>
        <v>#N/A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 t="e">
        <f>EXP(-LN(2)/35)*AU140+(1-EXP(-LN(2)/35))/(LN(2)/35)*AQ141*AR141*VLOOKUP('Données projet'!$B$10,Paramètres!$A$1:$I$89,3,0)*0.475*44/12</f>
        <v>#N/A</v>
      </c>
      <c r="AV141" s="21" t="e">
        <f>EXP(-LN(2)/25)*AV140+(1-EXP(-LN(2)/25))/(LN(2)/25)*Calculateur!AQ141*Calculateur!AS141*VLOOKUP('Données projet'!$B$10,Paramètres!$A$1:$I$89,3,0)*0.475*44/12</f>
        <v>#N/A</v>
      </c>
      <c r="AW141" s="21" t="e">
        <f>EXP(-LN(2)/2)*AW140+(1-EXP(-LN(2)/2))/(LN(2)/2)*AQ141*AT141*VLOOKUP('Données projet'!$B$10,Paramètres!$A$1:$I$89,3,0)*0.475*44/12</f>
        <v>#N/A</v>
      </c>
      <c r="AX141" s="21" t="e">
        <f t="shared" si="114"/>
        <v>#N/A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1">
        <f t="shared" si="140"/>
        <v>21.130188018659304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7">
        <f t="shared" si="110"/>
        <v>462.31712746583173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4.5474735088646412E-13</v>
      </c>
      <c r="O142" s="13">
        <f>N142*VLOOKUP('Données projet'!$B$9,Paramètres!$A$1:$I$89,3,0)*VLOOKUP('Données projet'!$B$9,Paramètres!$A$1:$I$89,5,0)</f>
        <v>2.7193891583010558E-13</v>
      </c>
      <c r="P142" s="13">
        <f t="shared" si="141"/>
        <v>3.6362267729089988E-12</v>
      </c>
      <c r="Q142" s="20">
        <f t="shared" si="108"/>
        <v>6.8067219078872727E-12</v>
      </c>
      <c r="R142" s="59">
        <f t="shared" si="109"/>
        <v>293.33333333334014</v>
      </c>
      <c r="S142" s="59">
        <f ca="1">AVERAGE(OFFSET($R$3,0,0,'Données projet'!$E$9+1,1))-AVERAGE(OFFSET($H$3,0,0,'Données projet'!$E$9+1,1))</f>
        <v>252.28378247570731</v>
      </c>
      <c r="T142" s="59">
        <f t="shared" si="142"/>
        <v>263.50418595307343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3.3902477228753445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1.5842611529477161E-15</v>
      </c>
      <c r="AC142" s="22">
        <f t="shared" si="111"/>
        <v>3.3902477228753463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 t="e">
        <f>AI142*VLOOKUP('Données projet'!$B$10,Paramètres!$A$1:$I$89,3,0)*VLOOKUP('Données projet'!$B$10,Paramètres!$A$1:$I$89,5,0)</f>
        <v>#N/A</v>
      </c>
      <c r="AK142" s="13" t="e">
        <f t="shared" si="143"/>
        <v>#N/A</v>
      </c>
      <c r="AL142" s="20" t="e">
        <f t="shared" si="112"/>
        <v>#N/A</v>
      </c>
      <c r="AM142" s="59" t="e">
        <f t="shared" si="113"/>
        <v>#N/A</v>
      </c>
      <c r="AN142" s="59" t="e">
        <f ca="1">AVERAGE(OFFSET($AM$3,0,0,'Données projet'!$E$10+1,1))-AVERAGE(OFFSET($H$3,0,0,'Données projet'!$E$10+1,1))</f>
        <v>#N/A</v>
      </c>
      <c r="AO142" s="59" t="e">
        <f t="shared" si="144"/>
        <v>#N/A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 t="e">
        <f>EXP(-LN(2)/35)*AU141+(1-EXP(-LN(2)/35))/(LN(2)/35)*AQ142*AR142*VLOOKUP('Données projet'!$B$10,Paramètres!$A$1:$I$89,3,0)*0.475*44/12</f>
        <v>#N/A</v>
      </c>
      <c r="AV142" s="21" t="e">
        <f>EXP(-LN(2)/25)*AV141+(1-EXP(-LN(2)/25))/(LN(2)/25)*Calculateur!AQ142*Calculateur!AS142*VLOOKUP('Données projet'!$B$10,Paramètres!$A$1:$I$89,3,0)*0.475*44/12</f>
        <v>#N/A</v>
      </c>
      <c r="AW142" s="21" t="e">
        <f>EXP(-LN(2)/2)*AW141+(1-EXP(-LN(2)/2))/(LN(2)/2)*AQ142*AT142*VLOOKUP('Données projet'!$B$10,Paramètres!$A$1:$I$89,3,0)*0.475*44/12</f>
        <v>#N/A</v>
      </c>
      <c r="AX142" s="21" t="e">
        <f t="shared" si="114"/>
        <v>#N/A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1">
        <f t="shared" si="140"/>
        <v>21.264453036605797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7">
        <f t="shared" si="110"/>
        <v>463.50192237208853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4.5474735088646412E-13</v>
      </c>
      <c r="O143" s="13">
        <f>N143*VLOOKUP('Données projet'!$B$9,Paramètres!$A$1:$I$89,3,0)*VLOOKUP('Données projet'!$B$9,Paramètres!$A$1:$I$89,5,0)</f>
        <v>2.7193891583010558E-13</v>
      </c>
      <c r="P143" s="13">
        <f t="shared" si="141"/>
        <v>3.6362267729089988E-12</v>
      </c>
      <c r="Q143" s="20">
        <f t="shared" si="108"/>
        <v>6.8067219078872727E-12</v>
      </c>
      <c r="R143" s="59">
        <f t="shared" si="109"/>
        <v>293.33333333334014</v>
      </c>
      <c r="S143" s="59">
        <f ca="1">AVERAGE(OFFSET($R$3,0,0,'Données projet'!$E$9+1,1))-AVERAGE(OFFSET($H$3,0,0,'Données projet'!$E$9+1,1))</f>
        <v>252.28378247570731</v>
      </c>
      <c r="T143" s="59">
        <f t="shared" si="142"/>
        <v>263.50418595307343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3.3237670328766868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1.1202418044197481E-15</v>
      </c>
      <c r="AC143" s="22">
        <f t="shared" si="111"/>
        <v>3.3237670328766882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 t="e">
        <f>AI143*VLOOKUP('Données projet'!$B$10,Paramètres!$A$1:$I$89,3,0)*VLOOKUP('Données projet'!$B$10,Paramètres!$A$1:$I$89,5,0)</f>
        <v>#N/A</v>
      </c>
      <c r="AK143" s="13" t="e">
        <f t="shared" si="143"/>
        <v>#N/A</v>
      </c>
      <c r="AL143" s="20" t="e">
        <f t="shared" si="112"/>
        <v>#N/A</v>
      </c>
      <c r="AM143" s="59" t="e">
        <f t="shared" si="113"/>
        <v>#N/A</v>
      </c>
      <c r="AN143" s="59" t="e">
        <f ca="1">AVERAGE(OFFSET($AM$3,0,0,'Données projet'!$E$10+1,1))-AVERAGE(OFFSET($H$3,0,0,'Données projet'!$E$10+1,1))</f>
        <v>#N/A</v>
      </c>
      <c r="AO143" s="59" t="e">
        <f t="shared" si="144"/>
        <v>#N/A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 t="e">
        <f>EXP(-LN(2)/35)*AU142+(1-EXP(-LN(2)/35))/(LN(2)/35)*AQ143*AR143*VLOOKUP('Données projet'!$B$10,Paramètres!$A$1:$I$89,3,0)*0.475*44/12</f>
        <v>#N/A</v>
      </c>
      <c r="AV143" s="21" t="e">
        <f>EXP(-LN(2)/25)*AV142+(1-EXP(-LN(2)/25))/(LN(2)/25)*Calculateur!AQ143*Calculateur!AS143*VLOOKUP('Données projet'!$B$10,Paramètres!$A$1:$I$89,3,0)*0.475*44/12</f>
        <v>#N/A</v>
      </c>
      <c r="AW143" s="21" t="e">
        <f>EXP(-LN(2)/2)*AW142+(1-EXP(-LN(2)/2))/(LN(2)/2)*AQ143*AT143*VLOOKUP('Données projet'!$B$10,Paramètres!$A$1:$I$89,3,0)*0.475*44/12</f>
        <v>#N/A</v>
      </c>
      <c r="AX143" s="21" t="e">
        <f t="shared" si="114"/>
        <v>#N/A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1">
        <f t="shared" si="140"/>
        <v>21.39860646817062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7">
        <f t="shared" si="110"/>
        <v>464.68652293206395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4.5474735088646412E-13</v>
      </c>
      <c r="O144" s="13">
        <f>N144*VLOOKUP('Données projet'!$B$9,Paramètres!$A$1:$I$89,3,0)*VLOOKUP('Données projet'!$B$9,Paramètres!$A$1:$I$89,5,0)</f>
        <v>2.7193891583010558E-13</v>
      </c>
      <c r="P144" s="13">
        <f t="shared" si="141"/>
        <v>3.6362267729089988E-12</v>
      </c>
      <c r="Q144" s="20">
        <f t="shared" si="108"/>
        <v>6.8067219078872727E-12</v>
      </c>
      <c r="R144" s="59">
        <f t="shared" si="109"/>
        <v>293.33333333334014</v>
      </c>
      <c r="S144" s="59">
        <f ca="1">AVERAGE(OFFSET($R$3,0,0,'Données projet'!$E$9+1,1))-AVERAGE(OFFSET($H$3,0,0,'Données projet'!$E$9+1,1))</f>
        <v>252.28378247570731</v>
      </c>
      <c r="T144" s="59">
        <f t="shared" si="142"/>
        <v>263.50418595307343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3.2585899886596859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7.9213057647385803E-16</v>
      </c>
      <c r="AC144" s="22">
        <f t="shared" si="111"/>
        <v>3.2585899886596867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 t="e">
        <f>AI144*VLOOKUP('Données projet'!$B$10,Paramètres!$A$1:$I$89,3,0)*VLOOKUP('Données projet'!$B$10,Paramètres!$A$1:$I$89,5,0)</f>
        <v>#N/A</v>
      </c>
      <c r="AK144" s="13" t="e">
        <f t="shared" si="143"/>
        <v>#N/A</v>
      </c>
      <c r="AL144" s="20" t="e">
        <f t="shared" si="112"/>
        <v>#N/A</v>
      </c>
      <c r="AM144" s="59" t="e">
        <f t="shared" si="113"/>
        <v>#N/A</v>
      </c>
      <c r="AN144" s="59" t="e">
        <f ca="1">AVERAGE(OFFSET($AM$3,0,0,'Données projet'!$E$10+1,1))-AVERAGE(OFFSET($H$3,0,0,'Données projet'!$E$10+1,1))</f>
        <v>#N/A</v>
      </c>
      <c r="AO144" s="59" t="e">
        <f t="shared" si="144"/>
        <v>#N/A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 t="e">
        <f>EXP(-LN(2)/35)*AU143+(1-EXP(-LN(2)/35))/(LN(2)/35)*AQ144*AR144*VLOOKUP('Données projet'!$B$10,Paramètres!$A$1:$I$89,3,0)*0.475*44/12</f>
        <v>#N/A</v>
      </c>
      <c r="AV144" s="21" t="e">
        <f>EXP(-LN(2)/25)*AV143+(1-EXP(-LN(2)/25))/(LN(2)/25)*Calculateur!AQ144*Calculateur!AS144*VLOOKUP('Données projet'!$B$10,Paramètres!$A$1:$I$89,3,0)*0.475*44/12</f>
        <v>#N/A</v>
      </c>
      <c r="AW144" s="21" t="e">
        <f>EXP(-LN(2)/2)*AW143+(1-EXP(-LN(2)/2))/(LN(2)/2)*AQ144*AT144*VLOOKUP('Données projet'!$B$10,Paramètres!$A$1:$I$89,3,0)*0.475*44/12</f>
        <v>#N/A</v>
      </c>
      <c r="AX144" s="21" t="e">
        <f t="shared" si="114"/>
        <v>#N/A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1">
        <f t="shared" si="140"/>
        <v>21.532649196514924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7">
        <f t="shared" si="110"/>
        <v>465.87093068393028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4.5474735088646412E-13</v>
      </c>
      <c r="O145" s="13">
        <f>N145*VLOOKUP('Données projet'!$B$9,Paramètres!$A$1:$I$89,3,0)*VLOOKUP('Données projet'!$B$9,Paramètres!$A$1:$I$89,5,0)</f>
        <v>2.7193891583010558E-13</v>
      </c>
      <c r="P145" s="13">
        <f t="shared" si="141"/>
        <v>3.6362267729089988E-12</v>
      </c>
      <c r="Q145" s="20">
        <f t="shared" si="108"/>
        <v>6.8067219078872727E-12</v>
      </c>
      <c r="R145" s="59">
        <f t="shared" si="109"/>
        <v>293.33333333334014</v>
      </c>
      <c r="S145" s="59">
        <f ca="1">AVERAGE(OFFSET($R$3,0,0,'Données projet'!$E$9+1,1))-AVERAGE(OFFSET($H$3,0,0,'Données projet'!$E$9+1,1))</f>
        <v>252.28378247570731</v>
      </c>
      <c r="T145" s="59">
        <f t="shared" si="142"/>
        <v>263.50418595307343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3.1946910265257089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5.6012090220987407E-16</v>
      </c>
      <c r="AC145" s="22">
        <f t="shared" si="111"/>
        <v>3.1946910265257094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 t="e">
        <f>AI145*VLOOKUP('Données projet'!$B$10,Paramètres!$A$1:$I$89,3,0)*VLOOKUP('Données projet'!$B$10,Paramètres!$A$1:$I$89,5,0)</f>
        <v>#N/A</v>
      </c>
      <c r="AK145" s="13" t="e">
        <f t="shared" si="143"/>
        <v>#N/A</v>
      </c>
      <c r="AL145" s="20" t="e">
        <f t="shared" si="112"/>
        <v>#N/A</v>
      </c>
      <c r="AM145" s="59" t="e">
        <f t="shared" si="113"/>
        <v>#N/A</v>
      </c>
      <c r="AN145" s="59" t="e">
        <f ca="1">AVERAGE(OFFSET($AM$3,0,0,'Données projet'!$E$10+1,1))-AVERAGE(OFFSET($H$3,0,0,'Données projet'!$E$10+1,1))</f>
        <v>#N/A</v>
      </c>
      <c r="AO145" s="59" t="e">
        <f t="shared" si="144"/>
        <v>#N/A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 t="e">
        <f>EXP(-LN(2)/35)*AU144+(1-EXP(-LN(2)/35))/(LN(2)/35)*AQ145*AR145*VLOOKUP('Données projet'!$B$10,Paramètres!$A$1:$I$89,3,0)*0.475*44/12</f>
        <v>#N/A</v>
      </c>
      <c r="AV145" s="21" t="e">
        <f>EXP(-LN(2)/25)*AV144+(1-EXP(-LN(2)/25))/(LN(2)/25)*Calculateur!AQ145*Calculateur!AS145*VLOOKUP('Données projet'!$B$10,Paramètres!$A$1:$I$89,3,0)*0.475*44/12</f>
        <v>#N/A</v>
      </c>
      <c r="AW145" s="21" t="e">
        <f>EXP(-LN(2)/2)*AW144+(1-EXP(-LN(2)/2))/(LN(2)/2)*AQ145*AT145*VLOOKUP('Données projet'!$B$10,Paramètres!$A$1:$I$89,3,0)*0.475*44/12</f>
        <v>#N/A</v>
      </c>
      <c r="AX145" s="21" t="e">
        <f t="shared" si="114"/>
        <v>#N/A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1">
        <f t="shared" si="140"/>
        <v>21.666582091642102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7">
        <f t="shared" si="110"/>
        <v>467.0551471429435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4.5474735088646412E-13</v>
      </c>
      <c r="O146" s="13">
        <f>N146*VLOOKUP('Données projet'!$B$9,Paramètres!$A$1:$I$89,3,0)*VLOOKUP('Données projet'!$B$9,Paramètres!$A$1:$I$89,5,0)</f>
        <v>2.7193891583010558E-13</v>
      </c>
      <c r="P146" s="13">
        <f t="shared" si="141"/>
        <v>3.6362267729089988E-12</v>
      </c>
      <c r="Q146" s="20">
        <f t="shared" si="108"/>
        <v>6.8067219078872727E-12</v>
      </c>
      <c r="R146" s="59">
        <f t="shared" si="109"/>
        <v>293.33333333334014</v>
      </c>
      <c r="S146" s="59">
        <f ca="1">AVERAGE(OFFSET($R$3,0,0,'Données projet'!$E$9+1,1))-AVERAGE(OFFSET($H$3,0,0,'Données projet'!$E$9+1,1))</f>
        <v>252.28378247570731</v>
      </c>
      <c r="T146" s="59">
        <f t="shared" si="142"/>
        <v>263.50418595307343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3.1320450840646608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3.9606528823692901E-16</v>
      </c>
      <c r="AC146" s="22">
        <f t="shared" si="111"/>
        <v>3.1320450840646612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 t="e">
        <f>AI146*VLOOKUP('Données projet'!$B$10,Paramètres!$A$1:$I$89,3,0)*VLOOKUP('Données projet'!$B$10,Paramètres!$A$1:$I$89,5,0)</f>
        <v>#N/A</v>
      </c>
      <c r="AK146" s="13" t="e">
        <f t="shared" si="143"/>
        <v>#N/A</v>
      </c>
      <c r="AL146" s="20" t="e">
        <f t="shared" si="112"/>
        <v>#N/A</v>
      </c>
      <c r="AM146" s="59" t="e">
        <f t="shared" si="113"/>
        <v>#N/A</v>
      </c>
      <c r="AN146" s="59" t="e">
        <f ca="1">AVERAGE(OFFSET($AM$3,0,0,'Données projet'!$E$10+1,1))-AVERAGE(OFFSET($H$3,0,0,'Données projet'!$E$10+1,1))</f>
        <v>#N/A</v>
      </c>
      <c r="AO146" s="59" t="e">
        <f t="shared" si="144"/>
        <v>#N/A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 t="e">
        <f>EXP(-LN(2)/35)*AU145+(1-EXP(-LN(2)/35))/(LN(2)/35)*AQ146*AR146*VLOOKUP('Données projet'!$B$10,Paramètres!$A$1:$I$89,3,0)*0.475*44/12</f>
        <v>#N/A</v>
      </c>
      <c r="AV146" s="21" t="e">
        <f>EXP(-LN(2)/25)*AV145+(1-EXP(-LN(2)/25))/(LN(2)/25)*Calculateur!AQ146*Calculateur!AS146*VLOOKUP('Données projet'!$B$10,Paramètres!$A$1:$I$89,3,0)*0.475*44/12</f>
        <v>#N/A</v>
      </c>
      <c r="AW146" s="21" t="e">
        <f>EXP(-LN(2)/2)*AW145+(1-EXP(-LN(2)/2))/(LN(2)/2)*AQ146*AT146*VLOOKUP('Données projet'!$B$10,Paramètres!$A$1:$I$89,3,0)*0.475*44/12</f>
        <v>#N/A</v>
      </c>
      <c r="AX146" s="21" t="e">
        <f t="shared" si="114"/>
        <v>#N/A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1">
        <f t="shared" si="140"/>
        <v>21.800406010684483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7">
        <f t="shared" si="110"/>
        <v>468.23917380194229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4.5474735088646412E-13</v>
      </c>
      <c r="O147" s="13">
        <f>N147*VLOOKUP('Données projet'!$B$9,Paramètres!$A$1:$I$89,3,0)*VLOOKUP('Données projet'!$B$9,Paramètres!$A$1:$I$89,5,0)</f>
        <v>2.7193891583010558E-13</v>
      </c>
      <c r="P147" s="13">
        <f t="shared" si="141"/>
        <v>3.6362267729089988E-12</v>
      </c>
      <c r="Q147" s="20">
        <f t="shared" si="108"/>
        <v>6.8067219078872727E-12</v>
      </c>
      <c r="R147" s="59">
        <f t="shared" si="109"/>
        <v>293.33333333334014</v>
      </c>
      <c r="S147" s="59">
        <f ca="1">AVERAGE(OFFSET($R$3,0,0,'Données projet'!$E$9+1,1))-AVERAGE(OFFSET($H$3,0,0,'Données projet'!$E$9+1,1))</f>
        <v>252.28378247570731</v>
      </c>
      <c r="T147" s="59">
        <f t="shared" si="142"/>
        <v>263.50418595307343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3.0706275903250217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2.8006045110493704E-16</v>
      </c>
      <c r="AC147" s="22">
        <f t="shared" si="111"/>
        <v>3.0706275903250222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 t="e">
        <f>AI147*VLOOKUP('Données projet'!$B$10,Paramètres!$A$1:$I$89,3,0)*VLOOKUP('Données projet'!$B$10,Paramètres!$A$1:$I$89,5,0)</f>
        <v>#N/A</v>
      </c>
      <c r="AK147" s="13" t="e">
        <f t="shared" si="143"/>
        <v>#N/A</v>
      </c>
      <c r="AL147" s="20" t="e">
        <f t="shared" si="112"/>
        <v>#N/A</v>
      </c>
      <c r="AM147" s="59" t="e">
        <f t="shared" si="113"/>
        <v>#N/A</v>
      </c>
      <c r="AN147" s="59" t="e">
        <f ca="1">AVERAGE(OFFSET($AM$3,0,0,'Données projet'!$E$10+1,1))-AVERAGE(OFFSET($H$3,0,0,'Données projet'!$E$10+1,1))</f>
        <v>#N/A</v>
      </c>
      <c r="AO147" s="59" t="e">
        <f t="shared" si="144"/>
        <v>#N/A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 t="e">
        <f>EXP(-LN(2)/35)*AU146+(1-EXP(-LN(2)/35))/(LN(2)/35)*AQ147*AR147*VLOOKUP('Données projet'!$B$10,Paramètres!$A$1:$I$89,3,0)*0.475*44/12</f>
        <v>#N/A</v>
      </c>
      <c r="AV147" s="21" t="e">
        <f>EXP(-LN(2)/25)*AV146+(1-EXP(-LN(2)/25))/(LN(2)/25)*Calculateur!AQ147*Calculateur!AS147*VLOOKUP('Données projet'!$B$10,Paramètres!$A$1:$I$89,3,0)*0.475*44/12</f>
        <v>#N/A</v>
      </c>
      <c r="AW147" s="21" t="e">
        <f>EXP(-LN(2)/2)*AW146+(1-EXP(-LN(2)/2))/(LN(2)/2)*AQ147*AT147*VLOOKUP('Données projet'!$B$10,Paramètres!$A$1:$I$89,3,0)*0.475*44/12</f>
        <v>#N/A</v>
      </c>
      <c r="AX147" s="21" t="e">
        <f t="shared" si="114"/>
        <v>#N/A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1">
        <f t="shared" si="140"/>
        <v>21.934121798181632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7">
        <f t="shared" si="110"/>
        <v>469.42301213183316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4.5474735088646412E-13</v>
      </c>
      <c r="O148" s="13">
        <f>N148*VLOOKUP('Données projet'!$B$9,Paramètres!$A$1:$I$89,3,0)*VLOOKUP('Données projet'!$B$9,Paramètres!$A$1:$I$89,5,0)</f>
        <v>2.7193891583010558E-13</v>
      </c>
      <c r="P148" s="13">
        <f t="shared" si="141"/>
        <v>3.6362267729089988E-12</v>
      </c>
      <c r="Q148" s="20">
        <f t="shared" si="108"/>
        <v>6.8067219078872727E-12</v>
      </c>
      <c r="R148" s="59">
        <f t="shared" si="109"/>
        <v>293.33333333334014</v>
      </c>
      <c r="S148" s="59">
        <f ca="1">AVERAGE(OFFSET($R$3,0,0,'Données projet'!$E$9+1,1))-AVERAGE(OFFSET($H$3,0,0,'Données projet'!$E$9+1,1))</f>
        <v>252.28378247570731</v>
      </c>
      <c r="T148" s="59">
        <f t="shared" si="142"/>
        <v>263.50418595307343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3.0104144561766448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1.9803264411846451E-16</v>
      </c>
      <c r="AC148" s="22">
        <f t="shared" si="111"/>
        <v>3.0104144561766448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 t="e">
        <f>AI148*VLOOKUP('Données projet'!$B$10,Paramètres!$A$1:$I$89,3,0)*VLOOKUP('Données projet'!$B$10,Paramètres!$A$1:$I$89,5,0)</f>
        <v>#N/A</v>
      </c>
      <c r="AK148" s="13" t="e">
        <f t="shared" si="143"/>
        <v>#N/A</v>
      </c>
      <c r="AL148" s="20" t="e">
        <f t="shared" si="112"/>
        <v>#N/A</v>
      </c>
      <c r="AM148" s="59" t="e">
        <f t="shared" si="113"/>
        <v>#N/A</v>
      </c>
      <c r="AN148" s="59" t="e">
        <f ca="1">AVERAGE(OFFSET($AM$3,0,0,'Données projet'!$E$10+1,1))-AVERAGE(OFFSET($H$3,0,0,'Données projet'!$E$10+1,1))</f>
        <v>#N/A</v>
      </c>
      <c r="AO148" s="59" t="e">
        <f t="shared" si="144"/>
        <v>#N/A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 t="e">
        <f>EXP(-LN(2)/35)*AU147+(1-EXP(-LN(2)/35))/(LN(2)/35)*AQ148*AR148*VLOOKUP('Données projet'!$B$10,Paramètres!$A$1:$I$89,3,0)*0.475*44/12</f>
        <v>#N/A</v>
      </c>
      <c r="AV148" s="21" t="e">
        <f>EXP(-LN(2)/25)*AV147+(1-EXP(-LN(2)/25))/(LN(2)/25)*Calculateur!AQ148*Calculateur!AS148*VLOOKUP('Données projet'!$B$10,Paramètres!$A$1:$I$89,3,0)*0.475*44/12</f>
        <v>#N/A</v>
      </c>
      <c r="AW148" s="21" t="e">
        <f>EXP(-LN(2)/2)*AW147+(1-EXP(-LN(2)/2))/(LN(2)/2)*AQ148*AT148*VLOOKUP('Données projet'!$B$10,Paramètres!$A$1:$I$89,3,0)*0.475*44/12</f>
        <v>#N/A</v>
      </c>
      <c r="AX148" s="21" t="e">
        <f t="shared" si="114"/>
        <v>#N/A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1">
        <f t="shared" si="140"/>
        <v>22.067730286351065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7">
        <f t="shared" si="110"/>
        <v>470.60666358206163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4.5474735088646412E-13</v>
      </c>
      <c r="O149" s="13">
        <f>N149*VLOOKUP('Données projet'!$B$9,Paramètres!$A$1:$I$89,3,0)*VLOOKUP('Données projet'!$B$9,Paramètres!$A$1:$I$89,5,0)</f>
        <v>2.7193891583010558E-13</v>
      </c>
      <c r="P149" s="13">
        <f t="shared" si="141"/>
        <v>3.6362267729089988E-12</v>
      </c>
      <c r="Q149" s="20">
        <f t="shared" si="108"/>
        <v>6.8067219078872727E-12</v>
      </c>
      <c r="R149" s="59">
        <f t="shared" si="109"/>
        <v>293.33333333334014</v>
      </c>
      <c r="S149" s="59">
        <f ca="1">AVERAGE(OFFSET($R$3,0,0,'Données projet'!$E$9+1,1))-AVERAGE(OFFSET($H$3,0,0,'Données projet'!$E$9+1,1))</f>
        <v>252.28378247570731</v>
      </c>
      <c r="T149" s="59">
        <f t="shared" si="142"/>
        <v>263.50418595307343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2.9513820648625324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1.4003022555246852E-16</v>
      </c>
      <c r="AC149" s="22">
        <f t="shared" si="111"/>
        <v>2.9513820648625324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 t="e">
        <f>AI149*VLOOKUP('Données projet'!$B$10,Paramètres!$A$1:$I$89,3,0)*VLOOKUP('Données projet'!$B$10,Paramètres!$A$1:$I$89,5,0)</f>
        <v>#N/A</v>
      </c>
      <c r="AK149" s="13" t="e">
        <f t="shared" si="143"/>
        <v>#N/A</v>
      </c>
      <c r="AL149" s="20" t="e">
        <f t="shared" si="112"/>
        <v>#N/A</v>
      </c>
      <c r="AM149" s="59" t="e">
        <f t="shared" si="113"/>
        <v>#N/A</v>
      </c>
      <c r="AN149" s="59" t="e">
        <f ca="1">AVERAGE(OFFSET($AM$3,0,0,'Données projet'!$E$10+1,1))-AVERAGE(OFFSET($H$3,0,0,'Données projet'!$E$10+1,1))</f>
        <v>#N/A</v>
      </c>
      <c r="AO149" s="59" t="e">
        <f t="shared" si="144"/>
        <v>#N/A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 t="e">
        <f>EXP(-LN(2)/35)*AU148+(1-EXP(-LN(2)/35))/(LN(2)/35)*AQ149*AR149*VLOOKUP('Données projet'!$B$10,Paramètres!$A$1:$I$89,3,0)*0.475*44/12</f>
        <v>#N/A</v>
      </c>
      <c r="AV149" s="21" t="e">
        <f>EXP(-LN(2)/25)*AV148+(1-EXP(-LN(2)/25))/(LN(2)/25)*Calculateur!AQ149*Calculateur!AS149*VLOOKUP('Données projet'!$B$10,Paramètres!$A$1:$I$89,3,0)*0.475*44/12</f>
        <v>#N/A</v>
      </c>
      <c r="AW149" s="21" t="e">
        <f>EXP(-LN(2)/2)*AW148+(1-EXP(-LN(2)/2))/(LN(2)/2)*AQ149*AT149*VLOOKUP('Données projet'!$B$10,Paramètres!$A$1:$I$89,3,0)*0.475*44/12</f>
        <v>#N/A</v>
      </c>
      <c r="AX149" s="21" t="e">
        <f t="shared" si="114"/>
        <v>#N/A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1">
        <f t="shared" si="140"/>
        <v>22.201232295351069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7">
        <f t="shared" si="110"/>
        <v>471.79012958106995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4.5474735088646412E-13</v>
      </c>
      <c r="O150" s="13">
        <f>N150*VLOOKUP('Données projet'!$B$9,Paramètres!$A$1:$I$89,3,0)*VLOOKUP('Données projet'!$B$9,Paramètres!$A$1:$I$89,5,0)</f>
        <v>2.7193891583010558E-13</v>
      </c>
      <c r="P150" s="13">
        <f t="shared" si="141"/>
        <v>3.6362267729089988E-12</v>
      </c>
      <c r="Q150" s="20">
        <f t="shared" si="108"/>
        <v>6.8067219078872727E-12</v>
      </c>
      <c r="R150" s="59">
        <f t="shared" si="109"/>
        <v>293.33333333334014</v>
      </c>
      <c r="S150" s="59">
        <f ca="1">AVERAGE(OFFSET($R$3,0,0,'Données projet'!$E$9+1,1))-AVERAGE(OFFSET($H$3,0,0,'Données projet'!$E$9+1,1))</f>
        <v>252.28378247570731</v>
      </c>
      <c r="T150" s="59">
        <f t="shared" si="142"/>
        <v>263.50418595307343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2.893507262735886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9.9016322059232253E-17</v>
      </c>
      <c r="AC150" s="22">
        <f t="shared" si="111"/>
        <v>2.893507262735886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 t="e">
        <f>AI150*VLOOKUP('Données projet'!$B$10,Paramètres!$A$1:$I$89,3,0)*VLOOKUP('Données projet'!$B$10,Paramètres!$A$1:$I$89,5,0)</f>
        <v>#N/A</v>
      </c>
      <c r="AK150" s="13" t="e">
        <f t="shared" si="143"/>
        <v>#N/A</v>
      </c>
      <c r="AL150" s="20" t="e">
        <f t="shared" si="112"/>
        <v>#N/A</v>
      </c>
      <c r="AM150" s="59" t="e">
        <f t="shared" si="113"/>
        <v>#N/A</v>
      </c>
      <c r="AN150" s="59" t="e">
        <f ca="1">AVERAGE(OFFSET($AM$3,0,0,'Données projet'!$E$10+1,1))-AVERAGE(OFFSET($H$3,0,0,'Données projet'!$E$10+1,1))</f>
        <v>#N/A</v>
      </c>
      <c r="AO150" s="59" t="e">
        <f t="shared" si="144"/>
        <v>#N/A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 t="e">
        <f>EXP(-LN(2)/35)*AU149+(1-EXP(-LN(2)/35))/(LN(2)/35)*AQ150*AR150*VLOOKUP('Données projet'!$B$10,Paramètres!$A$1:$I$89,3,0)*0.475*44/12</f>
        <v>#N/A</v>
      </c>
      <c r="AV150" s="21" t="e">
        <f>EXP(-LN(2)/25)*AV149+(1-EXP(-LN(2)/25))/(LN(2)/25)*Calculateur!AQ150*Calculateur!AS150*VLOOKUP('Données projet'!$B$10,Paramètres!$A$1:$I$89,3,0)*0.475*44/12</f>
        <v>#N/A</v>
      </c>
      <c r="AW150" s="21" t="e">
        <f>EXP(-LN(2)/2)*AW149+(1-EXP(-LN(2)/2))/(LN(2)/2)*AQ150*AT150*VLOOKUP('Données projet'!$B$10,Paramètres!$A$1:$I$89,3,0)*0.475*44/12</f>
        <v>#N/A</v>
      </c>
      <c r="AX150" s="21" t="e">
        <f t="shared" si="114"/>
        <v>#N/A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1">
        <f t="shared" si="140"/>
        <v>22.334628633536237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7">
        <f t="shared" si="110"/>
        <v>472.9734115367425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4.5474735088646412E-13</v>
      </c>
      <c r="O151" s="13">
        <f>N151*VLOOKUP('Données projet'!$B$9,Paramètres!$A$1:$I$89,3,0)*VLOOKUP('Données projet'!$B$9,Paramètres!$A$1:$I$89,5,0)</f>
        <v>2.7193891583010558E-13</v>
      </c>
      <c r="P151" s="13">
        <f t="shared" si="141"/>
        <v>3.6362267729089988E-12</v>
      </c>
      <c r="Q151" s="20">
        <f t="shared" si="108"/>
        <v>6.8067219078872727E-12</v>
      </c>
      <c r="R151" s="59">
        <f t="shared" si="109"/>
        <v>293.33333333334014</v>
      </c>
      <c r="S151" s="59">
        <f ca="1">AVERAGE(OFFSET($R$3,0,0,'Données projet'!$E$9+1,1))-AVERAGE(OFFSET($H$3,0,0,'Données projet'!$E$9+1,1))</f>
        <v>252.28378247570731</v>
      </c>
      <c r="T151" s="59">
        <f t="shared" si="142"/>
        <v>263.50418595307343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2.8367673501787998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7.0015112776234259E-17</v>
      </c>
      <c r="AC151" s="22">
        <f t="shared" si="111"/>
        <v>2.8367673501787998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 t="e">
        <f>AI151*VLOOKUP('Données projet'!$B$10,Paramètres!$A$1:$I$89,3,0)*VLOOKUP('Données projet'!$B$10,Paramètres!$A$1:$I$89,5,0)</f>
        <v>#N/A</v>
      </c>
      <c r="AK151" s="13" t="e">
        <f t="shared" si="143"/>
        <v>#N/A</v>
      </c>
      <c r="AL151" s="20" t="e">
        <f t="shared" si="112"/>
        <v>#N/A</v>
      </c>
      <c r="AM151" s="59" t="e">
        <f t="shared" si="113"/>
        <v>#N/A</v>
      </c>
      <c r="AN151" s="59" t="e">
        <f ca="1">AVERAGE(OFFSET($AM$3,0,0,'Données projet'!$E$10+1,1))-AVERAGE(OFFSET($H$3,0,0,'Données projet'!$E$10+1,1))</f>
        <v>#N/A</v>
      </c>
      <c r="AO151" s="59" t="e">
        <f t="shared" si="144"/>
        <v>#N/A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 t="e">
        <f>EXP(-LN(2)/35)*AU150+(1-EXP(-LN(2)/35))/(LN(2)/35)*AQ151*AR151*VLOOKUP('Données projet'!$B$10,Paramètres!$A$1:$I$89,3,0)*0.475*44/12</f>
        <v>#N/A</v>
      </c>
      <c r="AV151" s="21" t="e">
        <f>EXP(-LN(2)/25)*AV150+(1-EXP(-LN(2)/25))/(LN(2)/25)*Calculateur!AQ151*Calculateur!AS151*VLOOKUP('Données projet'!$B$10,Paramètres!$A$1:$I$89,3,0)*0.475*44/12</f>
        <v>#N/A</v>
      </c>
      <c r="AW151" s="21" t="e">
        <f>EXP(-LN(2)/2)*AW150+(1-EXP(-LN(2)/2))/(LN(2)/2)*AQ151*AT151*VLOOKUP('Données projet'!$B$10,Paramètres!$A$1:$I$89,3,0)*0.475*44/12</f>
        <v>#N/A</v>
      </c>
      <c r="AX151" s="21" t="e">
        <f t="shared" si="114"/>
        <v>#N/A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1">
        <f t="shared" si="140"/>
        <v>22.467920097706067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7">
        <f t="shared" si="110"/>
        <v>474.15651083683827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4.5474735088646412E-13</v>
      </c>
      <c r="O152" s="13">
        <f>N152*VLOOKUP('Données projet'!$B$9,Paramètres!$A$1:$I$89,3,0)*VLOOKUP('Données projet'!$B$9,Paramètres!$A$1:$I$89,5,0)</f>
        <v>2.7193891583010558E-13</v>
      </c>
      <c r="P152" s="13">
        <f t="shared" si="141"/>
        <v>3.6362267729089988E-12</v>
      </c>
      <c r="Q152" s="20">
        <f t="shared" si="108"/>
        <v>6.8067219078872727E-12</v>
      </c>
      <c r="R152" s="59">
        <f t="shared" si="109"/>
        <v>293.33333333334014</v>
      </c>
      <c r="S152" s="59">
        <f ca="1">AVERAGE(OFFSET($R$3,0,0,'Données projet'!$E$9+1,1))-AVERAGE(OFFSET($H$3,0,0,'Données projet'!$E$9+1,1))</f>
        <v>252.28378247570731</v>
      </c>
      <c r="T152" s="59">
        <f t="shared" si="142"/>
        <v>263.50418595307343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2.7811400726990283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4.9508161029616127E-17</v>
      </c>
      <c r="AC152" s="22">
        <f t="shared" si="111"/>
        <v>2.7811400726990283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 t="e">
        <f>AI152*VLOOKUP('Données projet'!$B$10,Paramètres!$A$1:$I$89,3,0)*VLOOKUP('Données projet'!$B$10,Paramètres!$A$1:$I$89,5,0)</f>
        <v>#N/A</v>
      </c>
      <c r="AK152" s="13" t="e">
        <f t="shared" si="143"/>
        <v>#N/A</v>
      </c>
      <c r="AL152" s="20" t="e">
        <f t="shared" si="112"/>
        <v>#N/A</v>
      </c>
      <c r="AM152" s="59" t="e">
        <f t="shared" si="113"/>
        <v>#N/A</v>
      </c>
      <c r="AN152" s="59" t="e">
        <f ca="1">AVERAGE(OFFSET($AM$3,0,0,'Données projet'!$E$10+1,1))-AVERAGE(OFFSET($H$3,0,0,'Données projet'!$E$10+1,1))</f>
        <v>#N/A</v>
      </c>
      <c r="AO152" s="59" t="e">
        <f t="shared" si="144"/>
        <v>#N/A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 t="e">
        <f>EXP(-LN(2)/35)*AU151+(1-EXP(-LN(2)/35))/(LN(2)/35)*AQ152*AR152*VLOOKUP('Données projet'!$B$10,Paramètres!$A$1:$I$89,3,0)*0.475*44/12</f>
        <v>#N/A</v>
      </c>
      <c r="AV152" s="21" t="e">
        <f>EXP(-LN(2)/25)*AV151+(1-EXP(-LN(2)/25))/(LN(2)/25)*Calculateur!AQ152*Calculateur!AS152*VLOOKUP('Données projet'!$B$10,Paramètres!$A$1:$I$89,3,0)*0.475*44/12</f>
        <v>#N/A</v>
      </c>
      <c r="AW152" s="21" t="e">
        <f>EXP(-LN(2)/2)*AW151+(1-EXP(-LN(2)/2))/(LN(2)/2)*AQ152*AT152*VLOOKUP('Données projet'!$B$10,Paramètres!$A$1:$I$89,3,0)*0.475*44/12</f>
        <v>#N/A</v>
      </c>
      <c r="AX152" s="21" t="e">
        <f t="shared" si="114"/>
        <v>#N/A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1">
        <f t="shared" si="140"/>
        <v>22.601107473346371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7">
        <f t="shared" si="110"/>
        <v>475.33942884941183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4.5474735088646412E-13</v>
      </c>
      <c r="O153" s="13">
        <f>N153*VLOOKUP('Données projet'!$B$9,Paramètres!$A$1:$I$89,3,0)*VLOOKUP('Données projet'!$B$9,Paramètres!$A$1:$I$89,5,0)</f>
        <v>2.7193891583010558E-13</v>
      </c>
      <c r="P153" s="13">
        <f t="shared" si="141"/>
        <v>3.6362267729089988E-12</v>
      </c>
      <c r="Q153" s="20">
        <f t="shared" si="108"/>
        <v>6.8067219078872727E-12</v>
      </c>
      <c r="R153" s="59">
        <f t="shared" si="109"/>
        <v>293.33333333334014</v>
      </c>
      <c r="S153" s="59">
        <f ca="1">AVERAGE(OFFSET($R$3,0,0,'Données projet'!$E$9+1,1))-AVERAGE(OFFSET($H$3,0,0,'Données projet'!$E$9+1,1))</f>
        <v>252.28378247570731</v>
      </c>
      <c r="T153" s="59">
        <f t="shared" si="142"/>
        <v>263.50418595307343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2.7266036122013464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3.5007556388117129E-17</v>
      </c>
      <c r="AC153" s="22">
        <f t="shared" si="111"/>
        <v>2.7266036122013464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 t="e">
        <f>AI153*VLOOKUP('Données projet'!$B$10,Paramètres!$A$1:$I$89,3,0)*VLOOKUP('Données projet'!$B$10,Paramètres!$A$1:$I$89,5,0)</f>
        <v>#N/A</v>
      </c>
      <c r="AK153" s="13" t="e">
        <f t="shared" si="143"/>
        <v>#N/A</v>
      </c>
      <c r="AL153" s="20" t="e">
        <f t="shared" si="112"/>
        <v>#N/A</v>
      </c>
      <c r="AM153" s="59" t="e">
        <f t="shared" si="113"/>
        <v>#N/A</v>
      </c>
      <c r="AN153" s="59" t="e">
        <f ca="1">AVERAGE(OFFSET($AM$3,0,0,'Données projet'!$E$10+1,1))-AVERAGE(OFFSET($H$3,0,0,'Données projet'!$E$10+1,1))</f>
        <v>#N/A</v>
      </c>
      <c r="AO153" s="59" t="e">
        <f t="shared" si="144"/>
        <v>#N/A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 t="e">
        <f>EXP(-LN(2)/35)*AU152+(1-EXP(-LN(2)/35))/(LN(2)/35)*AQ153*AR153*VLOOKUP('Données projet'!$B$10,Paramètres!$A$1:$I$89,3,0)*0.475*44/12</f>
        <v>#N/A</v>
      </c>
      <c r="AV153" s="21" t="e">
        <f>EXP(-LN(2)/25)*AV152+(1-EXP(-LN(2)/25))/(LN(2)/25)*Calculateur!AQ153*Calculateur!AS153*VLOOKUP('Données projet'!$B$10,Paramètres!$A$1:$I$89,3,0)*0.475*44/12</f>
        <v>#N/A</v>
      </c>
      <c r="AW153" s="21" t="e">
        <f>EXP(-LN(2)/2)*AW152+(1-EXP(-LN(2)/2))/(LN(2)/2)*AQ153*AT153*VLOOKUP('Données projet'!$B$10,Paramètres!$A$1:$I$89,3,0)*0.475*44/12</f>
        <v>#N/A</v>
      </c>
      <c r="AX153" s="21" t="e">
        <f t="shared" si="114"/>
        <v>#N/A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1">
        <f t="shared" si="140"/>
        <v>22.734191534864422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7">
        <f t="shared" si="110"/>
        <v>476.52216692322241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4.5474735088646412E-13</v>
      </c>
      <c r="O154" s="13">
        <f>N154*VLOOKUP('Données projet'!$B$9,Paramètres!$A$1:$I$89,3,0)*VLOOKUP('Données projet'!$B$9,Paramètres!$A$1:$I$89,5,0)</f>
        <v>2.7193891583010558E-13</v>
      </c>
      <c r="P154" s="13">
        <f t="shared" si="141"/>
        <v>3.6362267729089988E-12</v>
      </c>
      <c r="Q154" s="20">
        <f t="shared" ref="Q154:Q203" si="162">(O154+P154)*0.475*44/12</f>
        <v>6.8067219078872727E-12</v>
      </c>
      <c r="R154" s="59">
        <f t="shared" si="109"/>
        <v>293.33333333334014</v>
      </c>
      <c r="S154" s="59">
        <f ca="1">AVERAGE(OFFSET($R$3,0,0,'Données projet'!$E$9+1,1))-AVERAGE(OFFSET($H$3,0,0,'Données projet'!$E$9+1,1))</f>
        <v>252.28378247570731</v>
      </c>
      <c r="T154" s="59">
        <f t="shared" si="142"/>
        <v>263.50418595307343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2.6731365784300674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2.4754080514808063E-17</v>
      </c>
      <c r="AC154" s="22">
        <f t="shared" ref="AC154:AC203" si="163">SUM(Z154:AB154)</f>
        <v>2.6731365784300674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 t="e">
        <f>AI154*VLOOKUP('Données projet'!$B$10,Paramètres!$A$1:$I$89,3,0)*VLOOKUP('Données projet'!$B$10,Paramètres!$A$1:$I$89,5,0)</f>
        <v>#N/A</v>
      </c>
      <c r="AK154" s="13" t="e">
        <f t="shared" ref="AK154:AK203" si="164">EXP(-1.0587+0.8836*LN(AJ154)+0.284)</f>
        <v>#N/A</v>
      </c>
      <c r="AL154" s="20" t="e">
        <f t="shared" ref="AL154:AL203" si="165">(AJ154+AK154)*0.475*44/12</f>
        <v>#N/A</v>
      </c>
      <c r="AM154" s="59" t="e">
        <f t="shared" si="113"/>
        <v>#N/A</v>
      </c>
      <c r="AN154" s="59" t="e">
        <f ca="1">AVERAGE(OFFSET($AM$3,0,0,'Données projet'!$E$10+1,1))-AVERAGE(OFFSET($H$3,0,0,'Données projet'!$E$10+1,1))</f>
        <v>#N/A</v>
      </c>
      <c r="AO154" s="59" t="e">
        <f t="shared" si="144"/>
        <v>#N/A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 t="e">
        <f>EXP(-LN(2)/35)*AU153+(1-EXP(-LN(2)/35))/(LN(2)/35)*AQ154*AR154*VLOOKUP('Données projet'!$B$10,Paramètres!$A$1:$I$89,3,0)*0.475*44/12</f>
        <v>#N/A</v>
      </c>
      <c r="AV154" s="21" t="e">
        <f>EXP(-LN(2)/25)*AV153+(1-EXP(-LN(2)/25))/(LN(2)/25)*Calculateur!AQ154*Calculateur!AS154*VLOOKUP('Données projet'!$B$10,Paramètres!$A$1:$I$89,3,0)*0.475*44/12</f>
        <v>#N/A</v>
      </c>
      <c r="AW154" s="21" t="e">
        <f>EXP(-LN(2)/2)*AW153+(1-EXP(-LN(2)/2))/(LN(2)/2)*AQ154*AT154*VLOOKUP('Données projet'!$B$10,Paramètres!$A$1:$I$89,3,0)*0.475*44/12</f>
        <v>#N/A</v>
      </c>
      <c r="AX154" s="21" t="e">
        <f t="shared" ref="AX154:AX203" si="166">SUM(AU154:AW154)</f>
        <v>#N/A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1">
        <f t="shared" si="140"/>
        <v>22.867173045817363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7">
        <f t="shared" si="110"/>
        <v>477.70472638813214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4.5474735088646412E-13</v>
      </c>
      <c r="O155" s="13">
        <f>N155*VLOOKUP('Données projet'!$B$9,Paramètres!$A$1:$I$89,3,0)*VLOOKUP('Données projet'!$B$9,Paramètres!$A$1:$I$89,5,0)</f>
        <v>2.7193891583010558E-13</v>
      </c>
      <c r="P155" s="13">
        <f t="shared" si="141"/>
        <v>3.6362267729089988E-12</v>
      </c>
      <c r="Q155" s="20">
        <f t="shared" si="162"/>
        <v>6.8067219078872727E-12</v>
      </c>
      <c r="R155" s="59">
        <f t="shared" si="109"/>
        <v>293.33333333334014</v>
      </c>
      <c r="S155" s="59">
        <f ca="1">AVERAGE(OFFSET($R$3,0,0,'Données projet'!$E$9+1,1))-AVERAGE(OFFSET($H$3,0,0,'Données projet'!$E$9+1,1))</f>
        <v>252.28378247570731</v>
      </c>
      <c r="T155" s="59">
        <f t="shared" si="142"/>
        <v>263.50418595307343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2.6207180005793727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1.7503778194058565E-17</v>
      </c>
      <c r="AC155" s="22">
        <f t="shared" si="163"/>
        <v>2.6207180005793727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 t="e">
        <f>AI155*VLOOKUP('Données projet'!$B$10,Paramètres!$A$1:$I$89,3,0)*VLOOKUP('Données projet'!$B$10,Paramètres!$A$1:$I$89,5,0)</f>
        <v>#N/A</v>
      </c>
      <c r="AK155" s="13" t="e">
        <f t="shared" si="164"/>
        <v>#N/A</v>
      </c>
      <c r="AL155" s="20" t="e">
        <f t="shared" si="165"/>
        <v>#N/A</v>
      </c>
      <c r="AM155" s="59" t="e">
        <f t="shared" si="113"/>
        <v>#N/A</v>
      </c>
      <c r="AN155" s="59" t="e">
        <f ca="1">AVERAGE(OFFSET($AM$3,0,0,'Données projet'!$E$10+1,1))-AVERAGE(OFFSET($H$3,0,0,'Données projet'!$E$10+1,1))</f>
        <v>#N/A</v>
      </c>
      <c r="AO155" s="59" t="e">
        <f t="shared" si="144"/>
        <v>#N/A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 t="e">
        <f>EXP(-LN(2)/35)*AU154+(1-EXP(-LN(2)/35))/(LN(2)/35)*AQ155*AR155*VLOOKUP('Données projet'!$B$10,Paramètres!$A$1:$I$89,3,0)*0.475*44/12</f>
        <v>#N/A</v>
      </c>
      <c r="AV155" s="21" t="e">
        <f>EXP(-LN(2)/25)*AV154+(1-EXP(-LN(2)/25))/(LN(2)/25)*Calculateur!AQ155*Calculateur!AS155*VLOOKUP('Données projet'!$B$10,Paramètres!$A$1:$I$89,3,0)*0.475*44/12</f>
        <v>#N/A</v>
      </c>
      <c r="AW155" s="21" t="e">
        <f>EXP(-LN(2)/2)*AW154+(1-EXP(-LN(2)/2))/(LN(2)/2)*AQ155*AT155*VLOOKUP('Données projet'!$B$10,Paramètres!$A$1:$I$89,3,0)*0.475*44/12</f>
        <v>#N/A</v>
      </c>
      <c r="AX155" s="21" t="e">
        <f t="shared" si="166"/>
        <v>#N/A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1">
        <f t="shared" si="140"/>
        <v>23.000052759134679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7">
        <f t="shared" si="110"/>
        <v>478.88710855549317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4.5474735088646412E-13</v>
      </c>
      <c r="O156" s="13">
        <f>N156*VLOOKUP('Données projet'!$B$9,Paramètres!$A$1:$I$89,3,0)*VLOOKUP('Données projet'!$B$9,Paramètres!$A$1:$I$89,5,0)</f>
        <v>2.7193891583010558E-13</v>
      </c>
      <c r="P156" s="13">
        <f t="shared" si="141"/>
        <v>3.6362267729089988E-12</v>
      </c>
      <c r="Q156" s="20">
        <f t="shared" si="162"/>
        <v>6.8067219078872727E-12</v>
      </c>
      <c r="R156" s="59">
        <f t="shared" si="109"/>
        <v>293.33333333334014</v>
      </c>
      <c r="S156" s="59">
        <f ca="1">AVERAGE(OFFSET($R$3,0,0,'Données projet'!$E$9+1,1))-AVERAGE(OFFSET($H$3,0,0,'Données projet'!$E$9+1,1))</f>
        <v>252.28378247570731</v>
      </c>
      <c r="T156" s="59">
        <f t="shared" si="142"/>
        <v>263.50418595307343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2.5693273190681549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1.2377040257404032E-17</v>
      </c>
      <c r="AC156" s="22">
        <f t="shared" si="163"/>
        <v>2.5693273190681549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 t="e">
        <f>AI156*VLOOKUP('Données projet'!$B$10,Paramètres!$A$1:$I$89,3,0)*VLOOKUP('Données projet'!$B$10,Paramètres!$A$1:$I$89,5,0)</f>
        <v>#N/A</v>
      </c>
      <c r="AK156" s="13" t="e">
        <f t="shared" si="164"/>
        <v>#N/A</v>
      </c>
      <c r="AL156" s="20" t="e">
        <f t="shared" si="165"/>
        <v>#N/A</v>
      </c>
      <c r="AM156" s="59" t="e">
        <f t="shared" si="113"/>
        <v>#N/A</v>
      </c>
      <c r="AN156" s="59" t="e">
        <f ca="1">AVERAGE(OFFSET($AM$3,0,0,'Données projet'!$E$10+1,1))-AVERAGE(OFFSET($H$3,0,0,'Données projet'!$E$10+1,1))</f>
        <v>#N/A</v>
      </c>
      <c r="AO156" s="59" t="e">
        <f t="shared" si="144"/>
        <v>#N/A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 t="e">
        <f>EXP(-LN(2)/35)*AU155+(1-EXP(-LN(2)/35))/(LN(2)/35)*AQ156*AR156*VLOOKUP('Données projet'!$B$10,Paramètres!$A$1:$I$89,3,0)*0.475*44/12</f>
        <v>#N/A</v>
      </c>
      <c r="AV156" s="21" t="e">
        <f>EXP(-LN(2)/25)*AV155+(1-EXP(-LN(2)/25))/(LN(2)/25)*Calculateur!AQ156*Calculateur!AS156*VLOOKUP('Données projet'!$B$10,Paramètres!$A$1:$I$89,3,0)*0.475*44/12</f>
        <v>#N/A</v>
      </c>
      <c r="AW156" s="21" t="e">
        <f>EXP(-LN(2)/2)*AW155+(1-EXP(-LN(2)/2))/(LN(2)/2)*AQ156*AT156*VLOOKUP('Données projet'!$B$10,Paramètres!$A$1:$I$89,3,0)*0.475*44/12</f>
        <v>#N/A</v>
      </c>
      <c r="AX156" s="21" t="e">
        <f t="shared" si="166"/>
        <v>#N/A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1">
        <f t="shared" si="140"/>
        <v>23.132831417334586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7">
        <f t="shared" si="110"/>
        <v>480.06931471852465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4.5474735088646412E-13</v>
      </c>
      <c r="O157" s="13">
        <f>N157*VLOOKUP('Données projet'!$B$9,Paramètres!$A$1:$I$89,3,0)*VLOOKUP('Données projet'!$B$9,Paramètres!$A$1:$I$89,5,0)</f>
        <v>2.7193891583010558E-13</v>
      </c>
      <c r="P157" s="13">
        <f t="shared" si="141"/>
        <v>3.6362267729089988E-12</v>
      </c>
      <c r="Q157" s="20">
        <f t="shared" si="162"/>
        <v>6.8067219078872727E-12</v>
      </c>
      <c r="R157" s="59">
        <f t="shared" si="109"/>
        <v>293.33333333334014</v>
      </c>
      <c r="S157" s="59">
        <f ca="1">AVERAGE(OFFSET($R$3,0,0,'Données projet'!$E$9+1,1))-AVERAGE(OFFSET($H$3,0,0,'Données projet'!$E$9+1,1))</f>
        <v>252.28378247570731</v>
      </c>
      <c r="T157" s="59">
        <f t="shared" si="142"/>
        <v>263.50418595307343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2.5189443774761515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8.7518890970292824E-18</v>
      </c>
      <c r="AC157" s="22">
        <f t="shared" si="163"/>
        <v>2.5189443774761515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 t="e">
        <f>AI157*VLOOKUP('Données projet'!$B$10,Paramètres!$A$1:$I$89,3,0)*VLOOKUP('Données projet'!$B$10,Paramètres!$A$1:$I$89,5,0)</f>
        <v>#N/A</v>
      </c>
      <c r="AK157" s="13" t="e">
        <f t="shared" si="164"/>
        <v>#N/A</v>
      </c>
      <c r="AL157" s="20" t="e">
        <f t="shared" si="165"/>
        <v>#N/A</v>
      </c>
      <c r="AM157" s="59" t="e">
        <f t="shared" si="113"/>
        <v>#N/A</v>
      </c>
      <c r="AN157" s="59" t="e">
        <f ca="1">AVERAGE(OFFSET($AM$3,0,0,'Données projet'!$E$10+1,1))-AVERAGE(OFFSET($H$3,0,0,'Données projet'!$E$10+1,1))</f>
        <v>#N/A</v>
      </c>
      <c r="AO157" s="59" t="e">
        <f t="shared" si="144"/>
        <v>#N/A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 t="e">
        <f>EXP(-LN(2)/35)*AU156+(1-EXP(-LN(2)/35))/(LN(2)/35)*AQ157*AR157*VLOOKUP('Données projet'!$B$10,Paramètres!$A$1:$I$89,3,0)*0.475*44/12</f>
        <v>#N/A</v>
      </c>
      <c r="AV157" s="21" t="e">
        <f>EXP(-LN(2)/25)*AV156+(1-EXP(-LN(2)/25))/(LN(2)/25)*Calculateur!AQ157*Calculateur!AS157*VLOOKUP('Données projet'!$B$10,Paramètres!$A$1:$I$89,3,0)*0.475*44/12</f>
        <v>#N/A</v>
      </c>
      <c r="AW157" s="21" t="e">
        <f>EXP(-LN(2)/2)*AW156+(1-EXP(-LN(2)/2))/(LN(2)/2)*AQ157*AT157*VLOOKUP('Données projet'!$B$10,Paramètres!$A$1:$I$89,3,0)*0.475*44/12</f>
        <v>#N/A</v>
      </c>
      <c r="AX157" s="21" t="e">
        <f t="shared" si="166"/>
        <v>#N/A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1">
        <f t="shared" si="140"/>
        <v>23.265509752734562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7">
        <f t="shared" si="110"/>
        <v>481.25134615267967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4.5474735088646412E-13</v>
      </c>
      <c r="O158" s="13">
        <f>N158*VLOOKUP('Données projet'!$B$9,Paramètres!$A$1:$I$89,3,0)*VLOOKUP('Données projet'!$B$9,Paramètres!$A$1:$I$89,5,0)</f>
        <v>2.7193891583010558E-13</v>
      </c>
      <c r="P158" s="13">
        <f t="shared" si="141"/>
        <v>3.6362267729089988E-12</v>
      </c>
      <c r="Q158" s="20">
        <f t="shared" si="162"/>
        <v>6.8067219078872727E-12</v>
      </c>
      <c r="R158" s="59">
        <f t="shared" si="109"/>
        <v>293.33333333334014</v>
      </c>
      <c r="S158" s="59">
        <f ca="1">AVERAGE(OFFSET($R$3,0,0,'Données projet'!$E$9+1,1))-AVERAGE(OFFSET($H$3,0,0,'Données projet'!$E$9+1,1))</f>
        <v>252.28378247570731</v>
      </c>
      <c r="T158" s="59">
        <f t="shared" si="142"/>
        <v>263.50418595307343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2.4695494146382071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6.1885201287020158E-18</v>
      </c>
      <c r="AC158" s="22">
        <f t="shared" si="163"/>
        <v>2.4695494146382071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 t="e">
        <f>AI158*VLOOKUP('Données projet'!$B$10,Paramètres!$A$1:$I$89,3,0)*VLOOKUP('Données projet'!$B$10,Paramètres!$A$1:$I$89,5,0)</f>
        <v>#N/A</v>
      </c>
      <c r="AK158" s="13" t="e">
        <f t="shared" si="164"/>
        <v>#N/A</v>
      </c>
      <c r="AL158" s="20" t="e">
        <f t="shared" si="165"/>
        <v>#N/A</v>
      </c>
      <c r="AM158" s="59" t="e">
        <f t="shared" si="113"/>
        <v>#N/A</v>
      </c>
      <c r="AN158" s="59" t="e">
        <f ca="1">AVERAGE(OFFSET($AM$3,0,0,'Données projet'!$E$10+1,1))-AVERAGE(OFFSET($H$3,0,0,'Données projet'!$E$10+1,1))</f>
        <v>#N/A</v>
      </c>
      <c r="AO158" s="59" t="e">
        <f t="shared" si="144"/>
        <v>#N/A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 t="e">
        <f>EXP(-LN(2)/35)*AU157+(1-EXP(-LN(2)/35))/(LN(2)/35)*AQ158*AR158*VLOOKUP('Données projet'!$B$10,Paramètres!$A$1:$I$89,3,0)*0.475*44/12</f>
        <v>#N/A</v>
      </c>
      <c r="AV158" s="21" t="e">
        <f>EXP(-LN(2)/25)*AV157+(1-EXP(-LN(2)/25))/(LN(2)/25)*Calculateur!AQ158*Calculateur!AS158*VLOOKUP('Données projet'!$B$10,Paramètres!$A$1:$I$89,3,0)*0.475*44/12</f>
        <v>#N/A</v>
      </c>
      <c r="AW158" s="21" t="e">
        <f>EXP(-LN(2)/2)*AW157+(1-EXP(-LN(2)/2))/(LN(2)/2)*AQ158*AT158*VLOOKUP('Données projet'!$B$10,Paramètres!$A$1:$I$89,3,0)*0.475*44/12</f>
        <v>#N/A</v>
      </c>
      <c r="AX158" s="21" t="e">
        <f t="shared" si="166"/>
        <v>#N/A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1">
        <f t="shared" si="140"/>
        <v>23.398088487656484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7">
        <f t="shared" si="110"/>
        <v>482.433204116002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4.5474735088646412E-13</v>
      </c>
      <c r="O159" s="13">
        <f>N159*VLOOKUP('Données projet'!$B$9,Paramètres!$A$1:$I$89,3,0)*VLOOKUP('Données projet'!$B$9,Paramètres!$A$1:$I$89,5,0)</f>
        <v>2.7193891583010558E-13</v>
      </c>
      <c r="P159" s="13">
        <f t="shared" si="141"/>
        <v>3.6362267729089988E-12</v>
      </c>
      <c r="Q159" s="20">
        <f t="shared" si="162"/>
        <v>6.8067219078872727E-12</v>
      </c>
      <c r="R159" s="59">
        <f t="shared" si="109"/>
        <v>293.33333333334014</v>
      </c>
      <c r="S159" s="59">
        <f ca="1">AVERAGE(OFFSET($R$3,0,0,'Données projet'!$E$9+1,1))-AVERAGE(OFFSET($H$3,0,0,'Données projet'!$E$9+1,1))</f>
        <v>252.28378247570731</v>
      </c>
      <c r="T159" s="59">
        <f t="shared" si="142"/>
        <v>263.50418595307343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2.4211230568935624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4.3759445485146412E-18</v>
      </c>
      <c r="AC159" s="22">
        <f t="shared" si="163"/>
        <v>2.4211230568935624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 t="e">
        <f>AI159*VLOOKUP('Données projet'!$B$10,Paramètres!$A$1:$I$89,3,0)*VLOOKUP('Données projet'!$B$10,Paramètres!$A$1:$I$89,5,0)</f>
        <v>#N/A</v>
      </c>
      <c r="AK159" s="13" t="e">
        <f t="shared" si="164"/>
        <v>#N/A</v>
      </c>
      <c r="AL159" s="20" t="e">
        <f t="shared" si="165"/>
        <v>#N/A</v>
      </c>
      <c r="AM159" s="59" t="e">
        <f t="shared" si="113"/>
        <v>#N/A</v>
      </c>
      <c r="AN159" s="59" t="e">
        <f ca="1">AVERAGE(OFFSET($AM$3,0,0,'Données projet'!$E$10+1,1))-AVERAGE(OFFSET($H$3,0,0,'Données projet'!$E$10+1,1))</f>
        <v>#N/A</v>
      </c>
      <c r="AO159" s="59" t="e">
        <f t="shared" si="144"/>
        <v>#N/A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 t="e">
        <f>EXP(-LN(2)/35)*AU158+(1-EXP(-LN(2)/35))/(LN(2)/35)*AQ159*AR159*VLOOKUP('Données projet'!$B$10,Paramètres!$A$1:$I$89,3,0)*0.475*44/12</f>
        <v>#N/A</v>
      </c>
      <c r="AV159" s="21" t="e">
        <f>EXP(-LN(2)/25)*AV158+(1-EXP(-LN(2)/25))/(LN(2)/25)*Calculateur!AQ159*Calculateur!AS159*VLOOKUP('Données projet'!$B$10,Paramètres!$A$1:$I$89,3,0)*0.475*44/12</f>
        <v>#N/A</v>
      </c>
      <c r="AW159" s="21" t="e">
        <f>EXP(-LN(2)/2)*AW158+(1-EXP(-LN(2)/2))/(LN(2)/2)*AQ159*AT159*VLOOKUP('Données projet'!$B$10,Paramètres!$A$1:$I$89,3,0)*0.475*44/12</f>
        <v>#N/A</v>
      </c>
      <c r="AX159" s="21" t="e">
        <f t="shared" si="166"/>
        <v>#N/A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1">
        <f t="shared" si="140"/>
        <v>23.530568334626178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7">
        <f t="shared" si="110"/>
        <v>483.61488984947425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4.5474735088646412E-13</v>
      </c>
      <c r="O160" s="13">
        <f>N160*VLOOKUP('Données projet'!$B$9,Paramètres!$A$1:$I$89,3,0)*VLOOKUP('Données projet'!$B$9,Paramètres!$A$1:$I$89,5,0)</f>
        <v>2.7193891583010558E-13</v>
      </c>
      <c r="P160" s="13">
        <f t="shared" si="141"/>
        <v>3.6362267729089988E-12</v>
      </c>
      <c r="Q160" s="20">
        <f t="shared" si="162"/>
        <v>6.8067219078872727E-12</v>
      </c>
      <c r="R160" s="59">
        <f t="shared" si="109"/>
        <v>293.33333333334014</v>
      </c>
      <c r="S160" s="59">
        <f ca="1">AVERAGE(OFFSET($R$3,0,0,'Données projet'!$E$9+1,1))-AVERAGE(OFFSET($H$3,0,0,'Données projet'!$E$9+1,1))</f>
        <v>252.28378247570731</v>
      </c>
      <c r="T160" s="59">
        <f t="shared" si="142"/>
        <v>263.50418595307343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2.3736463104871284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3.0942600643510079E-18</v>
      </c>
      <c r="AC160" s="22">
        <f t="shared" si="163"/>
        <v>2.3736463104871284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 t="e">
        <f>AI160*VLOOKUP('Données projet'!$B$10,Paramètres!$A$1:$I$89,3,0)*VLOOKUP('Données projet'!$B$10,Paramètres!$A$1:$I$89,5,0)</f>
        <v>#N/A</v>
      </c>
      <c r="AK160" s="13" t="e">
        <f t="shared" si="164"/>
        <v>#N/A</v>
      </c>
      <c r="AL160" s="20" t="e">
        <f t="shared" si="165"/>
        <v>#N/A</v>
      </c>
      <c r="AM160" s="59" t="e">
        <f t="shared" si="113"/>
        <v>#N/A</v>
      </c>
      <c r="AN160" s="59" t="e">
        <f ca="1">AVERAGE(OFFSET($AM$3,0,0,'Données projet'!$E$10+1,1))-AVERAGE(OFFSET($H$3,0,0,'Données projet'!$E$10+1,1))</f>
        <v>#N/A</v>
      </c>
      <c r="AO160" s="59" t="e">
        <f t="shared" si="144"/>
        <v>#N/A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 t="e">
        <f>EXP(-LN(2)/35)*AU159+(1-EXP(-LN(2)/35))/(LN(2)/35)*AQ160*AR160*VLOOKUP('Données projet'!$B$10,Paramètres!$A$1:$I$89,3,0)*0.475*44/12</f>
        <v>#N/A</v>
      </c>
      <c r="AV160" s="21" t="e">
        <f>EXP(-LN(2)/25)*AV159+(1-EXP(-LN(2)/25))/(LN(2)/25)*Calculateur!AQ160*Calculateur!AS160*VLOOKUP('Données projet'!$B$10,Paramètres!$A$1:$I$89,3,0)*0.475*44/12</f>
        <v>#N/A</v>
      </c>
      <c r="AW160" s="21" t="e">
        <f>EXP(-LN(2)/2)*AW159+(1-EXP(-LN(2)/2))/(LN(2)/2)*AQ160*AT160*VLOOKUP('Données projet'!$B$10,Paramètres!$A$1:$I$89,3,0)*0.475*44/12</f>
        <v>#N/A</v>
      </c>
      <c r="AX160" s="21" t="e">
        <f t="shared" si="166"/>
        <v>#N/A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1">
        <f t="shared" si="140"/>
        <v>23.662949996567761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7">
        <f t="shared" si="110"/>
        <v>484.79640457735582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4.5474735088646412E-13</v>
      </c>
      <c r="O161" s="13">
        <f>N161*VLOOKUP('Données projet'!$B$9,Paramètres!$A$1:$I$89,3,0)*VLOOKUP('Données projet'!$B$9,Paramètres!$A$1:$I$89,5,0)</f>
        <v>2.7193891583010558E-13</v>
      </c>
      <c r="P161" s="13">
        <f t="shared" si="141"/>
        <v>3.6362267729089988E-12</v>
      </c>
      <c r="Q161" s="20">
        <f t="shared" si="162"/>
        <v>6.8067219078872727E-12</v>
      </c>
      <c r="R161" s="59">
        <f t="shared" si="109"/>
        <v>293.33333333334014</v>
      </c>
      <c r="S161" s="59">
        <f ca="1">AVERAGE(OFFSET($R$3,0,0,'Données projet'!$E$9+1,1))-AVERAGE(OFFSET($H$3,0,0,'Données projet'!$E$9+1,1))</f>
        <v>252.28378247570731</v>
      </c>
      <c r="T161" s="59">
        <f t="shared" si="142"/>
        <v>263.50418595307343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2.3271005541197685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2.1879722742573206E-18</v>
      </c>
      <c r="AC161" s="22">
        <f t="shared" si="163"/>
        <v>2.3271005541197685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 t="e">
        <f>AI161*VLOOKUP('Données projet'!$B$10,Paramètres!$A$1:$I$89,3,0)*VLOOKUP('Données projet'!$B$10,Paramètres!$A$1:$I$89,5,0)</f>
        <v>#N/A</v>
      </c>
      <c r="AK161" s="13" t="e">
        <f t="shared" si="164"/>
        <v>#N/A</v>
      </c>
      <c r="AL161" s="20" t="e">
        <f t="shared" si="165"/>
        <v>#N/A</v>
      </c>
      <c r="AM161" s="59" t="e">
        <f t="shared" si="113"/>
        <v>#N/A</v>
      </c>
      <c r="AN161" s="59" t="e">
        <f ca="1">AVERAGE(OFFSET($AM$3,0,0,'Données projet'!$E$10+1,1))-AVERAGE(OFFSET($H$3,0,0,'Données projet'!$E$10+1,1))</f>
        <v>#N/A</v>
      </c>
      <c r="AO161" s="59" t="e">
        <f t="shared" si="144"/>
        <v>#N/A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 t="e">
        <f>EXP(-LN(2)/35)*AU160+(1-EXP(-LN(2)/35))/(LN(2)/35)*AQ161*AR161*VLOOKUP('Données projet'!$B$10,Paramètres!$A$1:$I$89,3,0)*0.475*44/12</f>
        <v>#N/A</v>
      </c>
      <c r="AV161" s="21" t="e">
        <f>EXP(-LN(2)/25)*AV160+(1-EXP(-LN(2)/25))/(LN(2)/25)*Calculateur!AQ161*Calculateur!AS161*VLOOKUP('Données projet'!$B$10,Paramètres!$A$1:$I$89,3,0)*0.475*44/12</f>
        <v>#N/A</v>
      </c>
      <c r="AW161" s="21" t="e">
        <f>EXP(-LN(2)/2)*AW160+(1-EXP(-LN(2)/2))/(LN(2)/2)*AQ161*AT161*VLOOKUP('Données projet'!$B$10,Paramètres!$A$1:$I$89,3,0)*0.475*44/12</f>
        <v>#N/A</v>
      </c>
      <c r="AX161" s="21" t="e">
        <f t="shared" si="166"/>
        <v>#N/A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1">
        <f t="shared" si="140"/>
        <v>23.795234166993069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7">
        <f t="shared" si="110"/>
        <v>485.97774950751329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4.5474735088646412E-13</v>
      </c>
      <c r="O162" s="13">
        <f>N162*VLOOKUP('Données projet'!$B$9,Paramètres!$A$1:$I$89,3,0)*VLOOKUP('Données projet'!$B$9,Paramètres!$A$1:$I$89,5,0)</f>
        <v>2.7193891583010558E-13</v>
      </c>
      <c r="P162" s="13">
        <f t="shared" si="141"/>
        <v>3.6362267729089988E-12</v>
      </c>
      <c r="Q162" s="20">
        <f t="shared" si="162"/>
        <v>6.8067219078872727E-12</v>
      </c>
      <c r="R162" s="59">
        <f t="shared" si="109"/>
        <v>293.33333333334014</v>
      </c>
      <c r="S162" s="59">
        <f ca="1">AVERAGE(OFFSET($R$3,0,0,'Données projet'!$E$9+1,1))-AVERAGE(OFFSET($H$3,0,0,'Données projet'!$E$9+1,1))</f>
        <v>252.28378247570731</v>
      </c>
      <c r="T162" s="59">
        <f t="shared" si="142"/>
        <v>263.50418595307343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2.2814675316446644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1.547130032175504E-18</v>
      </c>
      <c r="AC162" s="22">
        <f t="shared" si="163"/>
        <v>2.2814675316446644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 t="e">
        <f>AI162*VLOOKUP('Données projet'!$B$10,Paramètres!$A$1:$I$89,3,0)*VLOOKUP('Données projet'!$B$10,Paramètres!$A$1:$I$89,5,0)</f>
        <v>#N/A</v>
      </c>
      <c r="AK162" s="13" t="e">
        <f t="shared" si="164"/>
        <v>#N/A</v>
      </c>
      <c r="AL162" s="20" t="e">
        <f t="shared" si="165"/>
        <v>#N/A</v>
      </c>
      <c r="AM162" s="59" t="e">
        <f t="shared" si="113"/>
        <v>#N/A</v>
      </c>
      <c r="AN162" s="59" t="e">
        <f ca="1">AVERAGE(OFFSET($AM$3,0,0,'Données projet'!$E$10+1,1))-AVERAGE(OFFSET($H$3,0,0,'Données projet'!$E$10+1,1))</f>
        <v>#N/A</v>
      </c>
      <c r="AO162" s="59" t="e">
        <f t="shared" si="144"/>
        <v>#N/A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 t="e">
        <f>EXP(-LN(2)/35)*AU161+(1-EXP(-LN(2)/35))/(LN(2)/35)*AQ162*AR162*VLOOKUP('Données projet'!$B$10,Paramètres!$A$1:$I$89,3,0)*0.475*44/12</f>
        <v>#N/A</v>
      </c>
      <c r="AV162" s="21" t="e">
        <f>EXP(-LN(2)/25)*AV161+(1-EXP(-LN(2)/25))/(LN(2)/25)*Calculateur!AQ162*Calculateur!AS162*VLOOKUP('Données projet'!$B$10,Paramètres!$A$1:$I$89,3,0)*0.475*44/12</f>
        <v>#N/A</v>
      </c>
      <c r="AW162" s="21" t="e">
        <f>EXP(-LN(2)/2)*AW161+(1-EXP(-LN(2)/2))/(LN(2)/2)*AQ162*AT162*VLOOKUP('Données projet'!$B$10,Paramètres!$A$1:$I$89,3,0)*0.475*44/12</f>
        <v>#N/A</v>
      </c>
      <c r="AX162" s="21" t="e">
        <f t="shared" si="166"/>
        <v>#N/A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1">
        <f t="shared" si="140"/>
        <v>23.927421530185995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7">
        <f t="shared" si="110"/>
        <v>487.15892583174093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4.5474735088646412E-13</v>
      </c>
      <c r="O163" s="13">
        <f>N163*VLOOKUP('Données projet'!$B$9,Paramètres!$A$1:$I$89,3,0)*VLOOKUP('Données projet'!$B$9,Paramètres!$A$1:$I$89,5,0)</f>
        <v>2.7193891583010558E-13</v>
      </c>
      <c r="P163" s="13">
        <f t="shared" si="141"/>
        <v>3.6362267729089988E-12</v>
      </c>
      <c r="Q163" s="20">
        <f t="shared" si="162"/>
        <v>6.8067219078872727E-12</v>
      </c>
      <c r="R163" s="59">
        <f t="shared" si="109"/>
        <v>293.33333333334014</v>
      </c>
      <c r="S163" s="59">
        <f ca="1">AVERAGE(OFFSET($R$3,0,0,'Données projet'!$E$9+1,1))-AVERAGE(OFFSET($H$3,0,0,'Données projet'!$E$9+1,1))</f>
        <v>252.28378247570731</v>
      </c>
      <c r="T163" s="59">
        <f t="shared" si="142"/>
        <v>263.50418595307343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2.2367293449069021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1.0939861371286603E-18</v>
      </c>
      <c r="AC163" s="22">
        <f t="shared" si="163"/>
        <v>2.2367293449069021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 t="e">
        <f>AI163*VLOOKUP('Données projet'!$B$10,Paramètres!$A$1:$I$89,3,0)*VLOOKUP('Données projet'!$B$10,Paramètres!$A$1:$I$89,5,0)</f>
        <v>#N/A</v>
      </c>
      <c r="AK163" s="13" t="e">
        <f t="shared" si="164"/>
        <v>#N/A</v>
      </c>
      <c r="AL163" s="20" t="e">
        <f t="shared" si="165"/>
        <v>#N/A</v>
      </c>
      <c r="AM163" s="59" t="e">
        <f t="shared" si="113"/>
        <v>#N/A</v>
      </c>
      <c r="AN163" s="59" t="e">
        <f ca="1">AVERAGE(OFFSET($AM$3,0,0,'Données projet'!$E$10+1,1))-AVERAGE(OFFSET($H$3,0,0,'Données projet'!$E$10+1,1))</f>
        <v>#N/A</v>
      </c>
      <c r="AO163" s="59" t="e">
        <f t="shared" si="144"/>
        <v>#N/A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 t="e">
        <f>EXP(-LN(2)/35)*AU162+(1-EXP(-LN(2)/35))/(LN(2)/35)*AQ163*AR163*VLOOKUP('Données projet'!$B$10,Paramètres!$A$1:$I$89,3,0)*0.475*44/12</f>
        <v>#N/A</v>
      </c>
      <c r="AV163" s="21" t="e">
        <f>EXP(-LN(2)/25)*AV162+(1-EXP(-LN(2)/25))/(LN(2)/25)*Calculateur!AQ163*Calculateur!AS163*VLOOKUP('Données projet'!$B$10,Paramètres!$A$1:$I$89,3,0)*0.475*44/12</f>
        <v>#N/A</v>
      </c>
      <c r="AW163" s="21" t="e">
        <f>EXP(-LN(2)/2)*AW162+(1-EXP(-LN(2)/2))/(LN(2)/2)*AQ163*AT163*VLOOKUP('Données projet'!$B$10,Paramètres!$A$1:$I$89,3,0)*0.475*44/12</f>
        <v>#N/A</v>
      </c>
      <c r="AX163" s="21" t="e">
        <f t="shared" si="166"/>
        <v>#N/A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1">
        <f t="shared" si="140"/>
        <v>24.059512761382141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7">
        <f t="shared" si="110"/>
        <v>488.33993472607426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4.5474735088646412E-13</v>
      </c>
      <c r="O164" s="13">
        <f>N164*VLOOKUP('Données projet'!$B$9,Paramètres!$A$1:$I$89,3,0)*VLOOKUP('Données projet'!$B$9,Paramètres!$A$1:$I$89,5,0)</f>
        <v>2.7193891583010558E-13</v>
      </c>
      <c r="P164" s="13">
        <f t="shared" si="141"/>
        <v>3.6362267729089988E-12</v>
      </c>
      <c r="Q164" s="20">
        <f t="shared" si="162"/>
        <v>6.8067219078872727E-12</v>
      </c>
      <c r="R164" s="59">
        <f t="shared" si="109"/>
        <v>293.33333333334014</v>
      </c>
      <c r="S164" s="59">
        <f ca="1">AVERAGE(OFFSET($R$3,0,0,'Données projet'!$E$9+1,1))-AVERAGE(OFFSET($H$3,0,0,'Données projet'!$E$9+1,1))</f>
        <v>252.28378247570731</v>
      </c>
      <c r="T164" s="59">
        <f t="shared" si="142"/>
        <v>263.50418595307343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2.1928684467234678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7.7356501608775198E-19</v>
      </c>
      <c r="AC164" s="22">
        <f t="shared" si="163"/>
        <v>2.1928684467234678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 t="e">
        <f>AI164*VLOOKUP('Données projet'!$B$10,Paramètres!$A$1:$I$89,3,0)*VLOOKUP('Données projet'!$B$10,Paramètres!$A$1:$I$89,5,0)</f>
        <v>#N/A</v>
      </c>
      <c r="AK164" s="13" t="e">
        <f t="shared" si="164"/>
        <v>#N/A</v>
      </c>
      <c r="AL164" s="20" t="e">
        <f t="shared" si="165"/>
        <v>#N/A</v>
      </c>
      <c r="AM164" s="59" t="e">
        <f t="shared" si="113"/>
        <v>#N/A</v>
      </c>
      <c r="AN164" s="59" t="e">
        <f ca="1">AVERAGE(OFFSET($AM$3,0,0,'Données projet'!$E$10+1,1))-AVERAGE(OFFSET($H$3,0,0,'Données projet'!$E$10+1,1))</f>
        <v>#N/A</v>
      </c>
      <c r="AO164" s="59" t="e">
        <f t="shared" si="144"/>
        <v>#N/A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 t="e">
        <f>EXP(-LN(2)/35)*AU163+(1-EXP(-LN(2)/35))/(LN(2)/35)*AQ164*AR164*VLOOKUP('Données projet'!$B$10,Paramètres!$A$1:$I$89,3,0)*0.475*44/12</f>
        <v>#N/A</v>
      </c>
      <c r="AV164" s="21" t="e">
        <f>EXP(-LN(2)/25)*AV163+(1-EXP(-LN(2)/25))/(LN(2)/25)*Calculateur!AQ164*Calculateur!AS164*VLOOKUP('Données projet'!$B$10,Paramètres!$A$1:$I$89,3,0)*0.475*44/12</f>
        <v>#N/A</v>
      </c>
      <c r="AW164" s="21" t="e">
        <f>EXP(-LN(2)/2)*AW163+(1-EXP(-LN(2)/2))/(LN(2)/2)*AQ164*AT164*VLOOKUP('Données projet'!$B$10,Paramètres!$A$1:$I$89,3,0)*0.475*44/12</f>
        <v>#N/A</v>
      </c>
      <c r="AX164" s="21" t="e">
        <f t="shared" si="166"/>
        <v>#N/A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1">
        <f t="shared" si="140"/>
        <v>24.191508526944009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7">
        <f t="shared" si="110"/>
        <v>489.52077735109452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4.5474735088646412E-13</v>
      </c>
      <c r="O165" s="13">
        <f>N165*VLOOKUP('Données projet'!$B$9,Paramètres!$A$1:$I$89,3,0)*VLOOKUP('Données projet'!$B$9,Paramètres!$A$1:$I$89,5,0)</f>
        <v>2.7193891583010558E-13</v>
      </c>
      <c r="P165" s="13">
        <f t="shared" si="141"/>
        <v>3.6362267729089988E-12</v>
      </c>
      <c r="Q165" s="20">
        <f t="shared" si="162"/>
        <v>6.8067219078872727E-12</v>
      </c>
      <c r="R165" s="59">
        <f t="shared" si="109"/>
        <v>293.33333333334014</v>
      </c>
      <c r="S165" s="59">
        <f ca="1">AVERAGE(OFFSET($R$3,0,0,'Données projet'!$E$9+1,1))-AVERAGE(OFFSET($H$3,0,0,'Données projet'!$E$9+1,1))</f>
        <v>252.28378247570731</v>
      </c>
      <c r="T165" s="59">
        <f t="shared" si="142"/>
        <v>263.50418595307343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2.1498676340009042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5.4699306856433015E-19</v>
      </c>
      <c r="AC165" s="22">
        <f t="shared" si="163"/>
        <v>2.1498676340009042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 t="e">
        <f>AI165*VLOOKUP('Données projet'!$B$10,Paramètres!$A$1:$I$89,3,0)*VLOOKUP('Données projet'!$B$10,Paramètres!$A$1:$I$89,5,0)</f>
        <v>#N/A</v>
      </c>
      <c r="AK165" s="13" t="e">
        <f t="shared" si="164"/>
        <v>#N/A</v>
      </c>
      <c r="AL165" s="20" t="e">
        <f t="shared" si="165"/>
        <v>#N/A</v>
      </c>
      <c r="AM165" s="59" t="e">
        <f t="shared" si="113"/>
        <v>#N/A</v>
      </c>
      <c r="AN165" s="59" t="e">
        <f ca="1">AVERAGE(OFFSET($AM$3,0,0,'Données projet'!$E$10+1,1))-AVERAGE(OFFSET($H$3,0,0,'Données projet'!$E$10+1,1))</f>
        <v>#N/A</v>
      </c>
      <c r="AO165" s="59" t="e">
        <f t="shared" si="144"/>
        <v>#N/A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 t="e">
        <f>EXP(-LN(2)/35)*AU164+(1-EXP(-LN(2)/35))/(LN(2)/35)*AQ165*AR165*VLOOKUP('Données projet'!$B$10,Paramètres!$A$1:$I$89,3,0)*0.475*44/12</f>
        <v>#N/A</v>
      </c>
      <c r="AV165" s="21" t="e">
        <f>EXP(-LN(2)/25)*AV164+(1-EXP(-LN(2)/25))/(LN(2)/25)*Calculateur!AQ165*Calculateur!AS165*VLOOKUP('Données projet'!$B$10,Paramètres!$A$1:$I$89,3,0)*0.475*44/12</f>
        <v>#N/A</v>
      </c>
      <c r="AW165" s="21" t="e">
        <f>EXP(-LN(2)/2)*AW164+(1-EXP(-LN(2)/2))/(LN(2)/2)*AQ165*AT165*VLOOKUP('Données projet'!$B$10,Paramètres!$A$1:$I$89,3,0)*0.475*44/12</f>
        <v>#N/A</v>
      </c>
      <c r="AX165" s="21" t="e">
        <f t="shared" si="166"/>
        <v>#N/A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1">
        <f t="shared" si="140"/>
        <v>24.323409484531542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7">
        <f t="shared" si="110"/>
        <v>490.70145485222611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4.5474735088646412E-13</v>
      </c>
      <c r="O166" s="13">
        <f>N166*VLOOKUP('Données projet'!$B$9,Paramètres!$A$1:$I$89,3,0)*VLOOKUP('Données projet'!$B$9,Paramètres!$A$1:$I$89,5,0)</f>
        <v>2.7193891583010558E-13</v>
      </c>
      <c r="P166" s="13">
        <f t="shared" si="141"/>
        <v>3.6362267729089988E-12</v>
      </c>
      <c r="Q166" s="20">
        <f t="shared" si="162"/>
        <v>6.8067219078872727E-12</v>
      </c>
      <c r="R166" s="59">
        <f t="shared" si="109"/>
        <v>293.33333333334014</v>
      </c>
      <c r="S166" s="59">
        <f ca="1">AVERAGE(OFFSET($R$3,0,0,'Données projet'!$E$9+1,1))-AVERAGE(OFFSET($H$3,0,0,'Données projet'!$E$9+1,1))</f>
        <v>252.28378247570731</v>
      </c>
      <c r="T166" s="59">
        <f t="shared" si="142"/>
        <v>263.50418595307343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2.1077100409879241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3.8678250804387599E-19</v>
      </c>
      <c r="AC166" s="22">
        <f t="shared" si="163"/>
        <v>2.1077100409879241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 t="e">
        <f>AI166*VLOOKUP('Données projet'!$B$10,Paramètres!$A$1:$I$89,3,0)*VLOOKUP('Données projet'!$B$10,Paramètres!$A$1:$I$89,5,0)</f>
        <v>#N/A</v>
      </c>
      <c r="AK166" s="13" t="e">
        <f t="shared" si="164"/>
        <v>#N/A</v>
      </c>
      <c r="AL166" s="20" t="e">
        <f t="shared" si="165"/>
        <v>#N/A</v>
      </c>
      <c r="AM166" s="59" t="e">
        <f t="shared" si="113"/>
        <v>#N/A</v>
      </c>
      <c r="AN166" s="59" t="e">
        <f ca="1">AVERAGE(OFFSET($AM$3,0,0,'Données projet'!$E$10+1,1))-AVERAGE(OFFSET($H$3,0,0,'Données projet'!$E$10+1,1))</f>
        <v>#N/A</v>
      </c>
      <c r="AO166" s="59" t="e">
        <f t="shared" si="144"/>
        <v>#N/A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 t="e">
        <f>EXP(-LN(2)/35)*AU165+(1-EXP(-LN(2)/35))/(LN(2)/35)*AQ166*AR166*VLOOKUP('Données projet'!$B$10,Paramètres!$A$1:$I$89,3,0)*0.475*44/12</f>
        <v>#N/A</v>
      </c>
      <c r="AV166" s="21" t="e">
        <f>EXP(-LN(2)/25)*AV165+(1-EXP(-LN(2)/25))/(LN(2)/25)*Calculateur!AQ166*Calculateur!AS166*VLOOKUP('Données projet'!$B$10,Paramètres!$A$1:$I$89,3,0)*0.475*44/12</f>
        <v>#N/A</v>
      </c>
      <c r="AW166" s="21" t="e">
        <f>EXP(-LN(2)/2)*AW165+(1-EXP(-LN(2)/2))/(LN(2)/2)*AQ166*AT166*VLOOKUP('Données projet'!$B$10,Paramètres!$A$1:$I$89,3,0)*0.475*44/12</f>
        <v>#N/A</v>
      </c>
      <c r="AX166" s="21" t="e">
        <f t="shared" si="166"/>
        <v>#N/A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1">
        <f t="shared" si="140"/>
        <v>24.455216283268463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7">
        <f t="shared" si="110"/>
        <v>491.88196836002629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4.5474735088646412E-13</v>
      </c>
      <c r="O167" s="13">
        <f>N167*VLOOKUP('Données projet'!$B$9,Paramètres!$A$1:$I$89,3,0)*VLOOKUP('Données projet'!$B$9,Paramètres!$A$1:$I$89,5,0)</f>
        <v>2.7193891583010558E-13</v>
      </c>
      <c r="P167" s="13">
        <f t="shared" si="141"/>
        <v>3.6362267729089988E-12</v>
      </c>
      <c r="Q167" s="20">
        <f t="shared" si="162"/>
        <v>6.8067219078872727E-12</v>
      </c>
      <c r="R167" s="59">
        <f t="shared" si="109"/>
        <v>293.33333333334014</v>
      </c>
      <c r="S167" s="59">
        <f ca="1">AVERAGE(OFFSET($R$3,0,0,'Données projet'!$E$9+1,1))-AVERAGE(OFFSET($H$3,0,0,'Données projet'!$E$9+1,1))</f>
        <v>252.28378247570731</v>
      </c>
      <c r="T167" s="59">
        <f t="shared" si="142"/>
        <v>263.50418595307343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2.066379132660336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2.7349653428216507E-19</v>
      </c>
      <c r="AC167" s="22">
        <f t="shared" si="163"/>
        <v>2.066379132660336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 t="e">
        <f>AI167*VLOOKUP('Données projet'!$B$10,Paramètres!$A$1:$I$89,3,0)*VLOOKUP('Données projet'!$B$10,Paramètres!$A$1:$I$89,5,0)</f>
        <v>#N/A</v>
      </c>
      <c r="AK167" s="13" t="e">
        <f t="shared" si="164"/>
        <v>#N/A</v>
      </c>
      <c r="AL167" s="20" t="e">
        <f t="shared" si="165"/>
        <v>#N/A</v>
      </c>
      <c r="AM167" s="59" t="e">
        <f t="shared" si="113"/>
        <v>#N/A</v>
      </c>
      <c r="AN167" s="59" t="e">
        <f ca="1">AVERAGE(OFFSET($AM$3,0,0,'Données projet'!$E$10+1,1))-AVERAGE(OFFSET($H$3,0,0,'Données projet'!$E$10+1,1))</f>
        <v>#N/A</v>
      </c>
      <c r="AO167" s="59" t="e">
        <f t="shared" si="144"/>
        <v>#N/A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 t="e">
        <f>EXP(-LN(2)/35)*AU166+(1-EXP(-LN(2)/35))/(LN(2)/35)*AQ167*AR167*VLOOKUP('Données projet'!$B$10,Paramètres!$A$1:$I$89,3,0)*0.475*44/12</f>
        <v>#N/A</v>
      </c>
      <c r="AV167" s="21" t="e">
        <f>EXP(-LN(2)/25)*AV166+(1-EXP(-LN(2)/25))/(LN(2)/25)*Calculateur!AQ167*Calculateur!AS167*VLOOKUP('Données projet'!$B$10,Paramètres!$A$1:$I$89,3,0)*0.475*44/12</f>
        <v>#N/A</v>
      </c>
      <c r="AW167" s="21" t="e">
        <f>EXP(-LN(2)/2)*AW166+(1-EXP(-LN(2)/2))/(LN(2)/2)*AQ167*AT167*VLOOKUP('Données projet'!$B$10,Paramètres!$A$1:$I$89,3,0)*0.475*44/12</f>
        <v>#N/A</v>
      </c>
      <c r="AX167" s="21" t="e">
        <f t="shared" si="166"/>
        <v>#N/A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1">
        <f t="shared" si="140"/>
        <v>24.586929563904505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7">
        <f t="shared" si="110"/>
        <v>493.06231899046742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4.5474735088646412E-13</v>
      </c>
      <c r="O168" s="13">
        <f>N168*VLOOKUP('Données projet'!$B$9,Paramètres!$A$1:$I$89,3,0)*VLOOKUP('Données projet'!$B$9,Paramètres!$A$1:$I$89,5,0)</f>
        <v>2.7193891583010558E-13</v>
      </c>
      <c r="P168" s="13">
        <f t="shared" si="141"/>
        <v>3.6362267729089988E-12</v>
      </c>
      <c r="Q168" s="20">
        <f t="shared" si="162"/>
        <v>6.8067219078872727E-12</v>
      </c>
      <c r="R168" s="59">
        <f t="shared" si="109"/>
        <v>293.33333333334014</v>
      </c>
      <c r="S168" s="59">
        <f ca="1">AVERAGE(OFFSET($R$3,0,0,'Données projet'!$E$9+1,1))-AVERAGE(OFFSET($H$3,0,0,'Données projet'!$E$9+1,1))</f>
        <v>252.28378247570731</v>
      </c>
      <c r="T168" s="59">
        <f t="shared" si="142"/>
        <v>263.50418595307343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2.025858698235687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1.9339125402193799E-19</v>
      </c>
      <c r="AC168" s="22">
        <f t="shared" si="163"/>
        <v>2.025858698235687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 t="e">
        <f>AI168*VLOOKUP('Données projet'!$B$10,Paramètres!$A$1:$I$89,3,0)*VLOOKUP('Données projet'!$B$10,Paramètres!$A$1:$I$89,5,0)</f>
        <v>#N/A</v>
      </c>
      <c r="AK168" s="13" t="e">
        <f t="shared" si="164"/>
        <v>#N/A</v>
      </c>
      <c r="AL168" s="20" t="e">
        <f t="shared" si="165"/>
        <v>#N/A</v>
      </c>
      <c r="AM168" s="59" t="e">
        <f t="shared" si="113"/>
        <v>#N/A</v>
      </c>
      <c r="AN168" s="59" t="e">
        <f ca="1">AVERAGE(OFFSET($AM$3,0,0,'Données projet'!$E$10+1,1))-AVERAGE(OFFSET($H$3,0,0,'Données projet'!$E$10+1,1))</f>
        <v>#N/A</v>
      </c>
      <c r="AO168" s="59" t="e">
        <f t="shared" si="144"/>
        <v>#N/A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 t="e">
        <f>EXP(-LN(2)/35)*AU167+(1-EXP(-LN(2)/35))/(LN(2)/35)*AQ168*AR168*VLOOKUP('Données projet'!$B$10,Paramètres!$A$1:$I$89,3,0)*0.475*44/12</f>
        <v>#N/A</v>
      </c>
      <c r="AV168" s="21" t="e">
        <f>EXP(-LN(2)/25)*AV167+(1-EXP(-LN(2)/25))/(LN(2)/25)*Calculateur!AQ168*Calculateur!AS168*VLOOKUP('Données projet'!$B$10,Paramètres!$A$1:$I$89,3,0)*0.475*44/12</f>
        <v>#N/A</v>
      </c>
      <c r="AW168" s="21" t="e">
        <f>EXP(-LN(2)/2)*AW167+(1-EXP(-LN(2)/2))/(LN(2)/2)*AQ168*AT168*VLOOKUP('Données projet'!$B$10,Paramètres!$A$1:$I$89,3,0)*0.475*44/12</f>
        <v>#N/A</v>
      </c>
      <c r="AX168" s="21" t="e">
        <f t="shared" si="166"/>
        <v>#N/A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1">
        <f t="shared" si="140"/>
        <v>24.718549958973419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7">
        <f t="shared" si="110"/>
        <v>494.24250784521246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4.5474735088646412E-13</v>
      </c>
      <c r="O169" s="13">
        <f>N169*VLOOKUP('Données projet'!$B$9,Paramètres!$A$1:$I$89,3,0)*VLOOKUP('Données projet'!$B$9,Paramètres!$A$1:$I$89,5,0)</f>
        <v>2.7193891583010558E-13</v>
      </c>
      <c r="P169" s="13">
        <f t="shared" si="141"/>
        <v>3.6362267729089988E-12</v>
      </c>
      <c r="Q169" s="20">
        <f t="shared" si="162"/>
        <v>6.8067219078872727E-12</v>
      </c>
      <c r="R169" s="59">
        <f t="shared" si="109"/>
        <v>293.33333333334014</v>
      </c>
      <c r="S169" s="59">
        <f ca="1">AVERAGE(OFFSET($R$3,0,0,'Données projet'!$E$9+1,1))-AVERAGE(OFFSET($H$3,0,0,'Données projet'!$E$9+1,1))</f>
        <v>252.28378247570731</v>
      </c>
      <c r="T169" s="59">
        <f t="shared" si="142"/>
        <v>263.50418595307343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1.9861328448150806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1.3674826714108254E-19</v>
      </c>
      <c r="AC169" s="22">
        <f t="shared" si="163"/>
        <v>1.9861328448150806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 t="e">
        <f>AI169*VLOOKUP('Données projet'!$B$10,Paramètres!$A$1:$I$89,3,0)*VLOOKUP('Données projet'!$B$10,Paramètres!$A$1:$I$89,5,0)</f>
        <v>#N/A</v>
      </c>
      <c r="AK169" s="13" t="e">
        <f t="shared" si="164"/>
        <v>#N/A</v>
      </c>
      <c r="AL169" s="20" t="e">
        <f t="shared" si="165"/>
        <v>#N/A</v>
      </c>
      <c r="AM169" s="59" t="e">
        <f t="shared" si="113"/>
        <v>#N/A</v>
      </c>
      <c r="AN169" s="59" t="e">
        <f ca="1">AVERAGE(OFFSET($AM$3,0,0,'Données projet'!$E$10+1,1))-AVERAGE(OFFSET($H$3,0,0,'Données projet'!$E$10+1,1))</f>
        <v>#N/A</v>
      </c>
      <c r="AO169" s="59" t="e">
        <f t="shared" si="144"/>
        <v>#N/A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 t="e">
        <f>EXP(-LN(2)/35)*AU168+(1-EXP(-LN(2)/35))/(LN(2)/35)*AQ169*AR169*VLOOKUP('Données projet'!$B$10,Paramètres!$A$1:$I$89,3,0)*0.475*44/12</f>
        <v>#N/A</v>
      </c>
      <c r="AV169" s="21" t="e">
        <f>EXP(-LN(2)/25)*AV168+(1-EXP(-LN(2)/25))/(LN(2)/25)*Calculateur!AQ169*Calculateur!AS169*VLOOKUP('Données projet'!$B$10,Paramètres!$A$1:$I$89,3,0)*0.475*44/12</f>
        <v>#N/A</v>
      </c>
      <c r="AW169" s="21" t="e">
        <f>EXP(-LN(2)/2)*AW168+(1-EXP(-LN(2)/2))/(LN(2)/2)*AQ169*AT169*VLOOKUP('Données projet'!$B$10,Paramètres!$A$1:$I$89,3,0)*0.475*44/12</f>
        <v>#N/A</v>
      </c>
      <c r="AX169" s="21" t="e">
        <f t="shared" si="166"/>
        <v>#N/A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1">
        <f t="shared" si="140"/>
        <v>24.850078092947228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7">
        <f t="shared" si="110"/>
        <v>495.42253601188349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4.5474735088646412E-13</v>
      </c>
      <c r="O170" s="13">
        <f>N170*VLOOKUP('Données projet'!$B$9,Paramètres!$A$1:$I$89,3,0)*VLOOKUP('Données projet'!$B$9,Paramètres!$A$1:$I$89,5,0)</f>
        <v>2.7193891583010558E-13</v>
      </c>
      <c r="P170" s="13">
        <f t="shared" si="141"/>
        <v>3.6362267729089988E-12</v>
      </c>
      <c r="Q170" s="20">
        <f t="shared" si="162"/>
        <v>6.8067219078872727E-12</v>
      </c>
      <c r="R170" s="59">
        <f t="shared" si="109"/>
        <v>293.33333333334014</v>
      </c>
      <c r="S170" s="59">
        <f ca="1">AVERAGE(OFFSET($R$3,0,0,'Données projet'!$E$9+1,1))-AVERAGE(OFFSET($H$3,0,0,'Données projet'!$E$9+1,1))</f>
        <v>252.28378247570731</v>
      </c>
      <c r="T170" s="59">
        <f t="shared" si="142"/>
        <v>263.50418595307343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1.9471859911496743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9.6695627010968997E-20</v>
      </c>
      <c r="AC170" s="22">
        <f t="shared" si="163"/>
        <v>1.9471859911496743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 t="e">
        <f>AI170*VLOOKUP('Données projet'!$B$10,Paramètres!$A$1:$I$89,3,0)*VLOOKUP('Données projet'!$B$10,Paramètres!$A$1:$I$89,5,0)</f>
        <v>#N/A</v>
      </c>
      <c r="AK170" s="13" t="e">
        <f t="shared" si="164"/>
        <v>#N/A</v>
      </c>
      <c r="AL170" s="20" t="e">
        <f t="shared" si="165"/>
        <v>#N/A</v>
      </c>
      <c r="AM170" s="59" t="e">
        <f t="shared" si="113"/>
        <v>#N/A</v>
      </c>
      <c r="AN170" s="59" t="e">
        <f ca="1">AVERAGE(OFFSET($AM$3,0,0,'Données projet'!$E$10+1,1))-AVERAGE(OFFSET($H$3,0,0,'Données projet'!$E$10+1,1))</f>
        <v>#N/A</v>
      </c>
      <c r="AO170" s="59" t="e">
        <f t="shared" si="144"/>
        <v>#N/A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 t="e">
        <f>EXP(-LN(2)/35)*AU169+(1-EXP(-LN(2)/35))/(LN(2)/35)*AQ170*AR170*VLOOKUP('Données projet'!$B$10,Paramètres!$A$1:$I$89,3,0)*0.475*44/12</f>
        <v>#N/A</v>
      </c>
      <c r="AV170" s="21" t="e">
        <f>EXP(-LN(2)/25)*AV169+(1-EXP(-LN(2)/25))/(LN(2)/25)*Calculateur!AQ170*Calculateur!AS170*VLOOKUP('Données projet'!$B$10,Paramètres!$A$1:$I$89,3,0)*0.475*44/12</f>
        <v>#N/A</v>
      </c>
      <c r="AW170" s="21" t="e">
        <f>EXP(-LN(2)/2)*AW169+(1-EXP(-LN(2)/2))/(LN(2)/2)*AQ170*AT170*VLOOKUP('Données projet'!$B$10,Paramètres!$A$1:$I$89,3,0)*0.475*44/12</f>
        <v>#N/A</v>
      </c>
      <c r="AX170" s="21" t="e">
        <f t="shared" si="166"/>
        <v>#N/A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1">
        <f t="shared" si="140"/>
        <v>24.981514582386627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7">
        <f t="shared" si="110"/>
        <v>496.60240456432382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4.5474735088646412E-13</v>
      </c>
      <c r="O171" s="13">
        <f>N171*VLOOKUP('Données projet'!$B$9,Paramètres!$A$1:$I$89,3,0)*VLOOKUP('Données projet'!$B$9,Paramètres!$A$1:$I$89,5,0)</f>
        <v>2.7193891583010558E-13</v>
      </c>
      <c r="P171" s="13">
        <f t="shared" si="141"/>
        <v>3.6362267729089988E-12</v>
      </c>
      <c r="Q171" s="20">
        <f t="shared" si="162"/>
        <v>6.8067219078872727E-12</v>
      </c>
      <c r="R171" s="59">
        <f t="shared" si="109"/>
        <v>293.33333333334014</v>
      </c>
      <c r="S171" s="59">
        <f ca="1">AVERAGE(OFFSET($R$3,0,0,'Données projet'!$E$9+1,1))-AVERAGE(OFFSET($H$3,0,0,'Données projet'!$E$9+1,1))</f>
        <v>252.28378247570731</v>
      </c>
      <c r="T171" s="59">
        <f t="shared" si="142"/>
        <v>263.50418595307343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1.9090028615294115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6.8374133570541268E-20</v>
      </c>
      <c r="AC171" s="22">
        <f t="shared" si="163"/>
        <v>1.9090028615294115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 t="e">
        <f>AI171*VLOOKUP('Données projet'!$B$10,Paramètres!$A$1:$I$89,3,0)*VLOOKUP('Données projet'!$B$10,Paramètres!$A$1:$I$89,5,0)</f>
        <v>#N/A</v>
      </c>
      <c r="AK171" s="13" t="e">
        <f t="shared" si="164"/>
        <v>#N/A</v>
      </c>
      <c r="AL171" s="20" t="e">
        <f t="shared" si="165"/>
        <v>#N/A</v>
      </c>
      <c r="AM171" s="59" t="e">
        <f t="shared" si="113"/>
        <v>#N/A</v>
      </c>
      <c r="AN171" s="59" t="e">
        <f ca="1">AVERAGE(OFFSET($AM$3,0,0,'Données projet'!$E$10+1,1))-AVERAGE(OFFSET($H$3,0,0,'Données projet'!$E$10+1,1))</f>
        <v>#N/A</v>
      </c>
      <c r="AO171" s="59" t="e">
        <f t="shared" si="144"/>
        <v>#N/A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 t="e">
        <f>EXP(-LN(2)/35)*AU170+(1-EXP(-LN(2)/35))/(LN(2)/35)*AQ171*AR171*VLOOKUP('Données projet'!$B$10,Paramètres!$A$1:$I$89,3,0)*0.475*44/12</f>
        <v>#N/A</v>
      </c>
      <c r="AV171" s="21" t="e">
        <f>EXP(-LN(2)/25)*AV170+(1-EXP(-LN(2)/25))/(LN(2)/25)*Calculateur!AQ171*Calculateur!AS171*VLOOKUP('Données projet'!$B$10,Paramètres!$A$1:$I$89,3,0)*0.475*44/12</f>
        <v>#N/A</v>
      </c>
      <c r="AW171" s="21" t="e">
        <f>EXP(-LN(2)/2)*AW170+(1-EXP(-LN(2)/2))/(LN(2)/2)*AQ171*AT171*VLOOKUP('Données projet'!$B$10,Paramètres!$A$1:$I$89,3,0)*0.475*44/12</f>
        <v>#N/A</v>
      </c>
      <c r="AX171" s="21" t="e">
        <f t="shared" si="166"/>
        <v>#N/A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1">
        <f t="shared" si="140"/>
        <v>25.112860036087632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7">
        <f t="shared" si="110"/>
        <v>497.78211456285305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4.5474735088646412E-13</v>
      </c>
      <c r="O172" s="13">
        <f>N172*VLOOKUP('Données projet'!$B$9,Paramètres!$A$1:$I$89,3,0)*VLOOKUP('Données projet'!$B$9,Paramètres!$A$1:$I$89,5,0)</f>
        <v>2.7193891583010558E-13</v>
      </c>
      <c r="P172" s="13">
        <f t="shared" si="141"/>
        <v>3.6362267729089988E-12</v>
      </c>
      <c r="Q172" s="20">
        <f t="shared" si="162"/>
        <v>6.8067219078872727E-12</v>
      </c>
      <c r="R172" s="59">
        <f t="shared" si="109"/>
        <v>293.33333333334014</v>
      </c>
      <c r="S172" s="59">
        <f ca="1">AVERAGE(OFFSET($R$3,0,0,'Données projet'!$E$9+1,1))-AVERAGE(OFFSET($H$3,0,0,'Données projet'!$E$9+1,1))</f>
        <v>252.28378247570731</v>
      </c>
      <c r="T172" s="59">
        <f t="shared" si="142"/>
        <v>263.50418595307343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1.8715684797915926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4.8347813505484499E-20</v>
      </c>
      <c r="AC172" s="22">
        <f t="shared" si="163"/>
        <v>1.8715684797915926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 t="e">
        <f>AI172*VLOOKUP('Données projet'!$B$10,Paramètres!$A$1:$I$89,3,0)*VLOOKUP('Données projet'!$B$10,Paramètres!$A$1:$I$89,5,0)</f>
        <v>#N/A</v>
      </c>
      <c r="AK172" s="13" t="e">
        <f t="shared" si="164"/>
        <v>#N/A</v>
      </c>
      <c r="AL172" s="20" t="e">
        <f t="shared" si="165"/>
        <v>#N/A</v>
      </c>
      <c r="AM172" s="59" t="e">
        <f t="shared" si="113"/>
        <v>#N/A</v>
      </c>
      <c r="AN172" s="59" t="e">
        <f ca="1">AVERAGE(OFFSET($AM$3,0,0,'Données projet'!$E$10+1,1))-AVERAGE(OFFSET($H$3,0,0,'Données projet'!$E$10+1,1))</f>
        <v>#N/A</v>
      </c>
      <c r="AO172" s="59" t="e">
        <f t="shared" si="144"/>
        <v>#N/A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 t="e">
        <f>EXP(-LN(2)/35)*AU171+(1-EXP(-LN(2)/35))/(LN(2)/35)*AQ172*AR172*VLOOKUP('Données projet'!$B$10,Paramètres!$A$1:$I$89,3,0)*0.475*44/12</f>
        <v>#N/A</v>
      </c>
      <c r="AV172" s="21" t="e">
        <f>EXP(-LN(2)/25)*AV171+(1-EXP(-LN(2)/25))/(LN(2)/25)*Calculateur!AQ172*Calculateur!AS172*VLOOKUP('Données projet'!$B$10,Paramètres!$A$1:$I$89,3,0)*0.475*44/12</f>
        <v>#N/A</v>
      </c>
      <c r="AW172" s="21" t="e">
        <f>EXP(-LN(2)/2)*AW171+(1-EXP(-LN(2)/2))/(LN(2)/2)*AQ172*AT172*VLOOKUP('Données projet'!$B$10,Paramètres!$A$1:$I$89,3,0)*0.475*44/12</f>
        <v>#N/A</v>
      </c>
      <c r="AX172" s="21" t="e">
        <f t="shared" si="166"/>
        <v>#N/A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1">
        <f t="shared" si="140"/>
        <v>25.244115055224771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7">
        <f t="shared" si="110"/>
        <v>498.96166705451697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4.5474735088646412E-13</v>
      </c>
      <c r="O173" s="13">
        <f>N173*VLOOKUP('Données projet'!$B$9,Paramètres!$A$1:$I$89,3,0)*VLOOKUP('Données projet'!$B$9,Paramètres!$A$1:$I$89,5,0)</f>
        <v>2.7193891583010558E-13</v>
      </c>
      <c r="P173" s="13">
        <f t="shared" si="141"/>
        <v>3.6362267729089988E-12</v>
      </c>
      <c r="Q173" s="20">
        <f t="shared" si="162"/>
        <v>6.8067219078872727E-12</v>
      </c>
      <c r="R173" s="59">
        <f t="shared" si="109"/>
        <v>293.33333333334014</v>
      </c>
      <c r="S173" s="59">
        <f ca="1">AVERAGE(OFFSET($R$3,0,0,'Données projet'!$E$9+1,1))-AVERAGE(OFFSET($H$3,0,0,'Données projet'!$E$9+1,1))</f>
        <v>252.28378247570731</v>
      </c>
      <c r="T173" s="59">
        <f t="shared" si="142"/>
        <v>263.50418595307343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1.8348681634469339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3.4187066785270634E-20</v>
      </c>
      <c r="AC173" s="22">
        <f t="shared" si="163"/>
        <v>1.8348681634469339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 t="e">
        <f>AI173*VLOOKUP('Données projet'!$B$10,Paramètres!$A$1:$I$89,3,0)*VLOOKUP('Données projet'!$B$10,Paramètres!$A$1:$I$89,5,0)</f>
        <v>#N/A</v>
      </c>
      <c r="AK173" s="13" t="e">
        <f t="shared" si="164"/>
        <v>#N/A</v>
      </c>
      <c r="AL173" s="20" t="e">
        <f t="shared" si="165"/>
        <v>#N/A</v>
      </c>
      <c r="AM173" s="59" t="e">
        <f t="shared" si="113"/>
        <v>#N/A</v>
      </c>
      <c r="AN173" s="59" t="e">
        <f ca="1">AVERAGE(OFFSET($AM$3,0,0,'Données projet'!$E$10+1,1))-AVERAGE(OFFSET($H$3,0,0,'Données projet'!$E$10+1,1))</f>
        <v>#N/A</v>
      </c>
      <c r="AO173" s="59" t="e">
        <f t="shared" si="144"/>
        <v>#N/A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 t="e">
        <f>EXP(-LN(2)/35)*AU172+(1-EXP(-LN(2)/35))/(LN(2)/35)*AQ173*AR173*VLOOKUP('Données projet'!$B$10,Paramètres!$A$1:$I$89,3,0)*0.475*44/12</f>
        <v>#N/A</v>
      </c>
      <c r="AV173" s="21" t="e">
        <f>EXP(-LN(2)/25)*AV172+(1-EXP(-LN(2)/25))/(LN(2)/25)*Calculateur!AQ173*Calculateur!AS173*VLOOKUP('Données projet'!$B$10,Paramètres!$A$1:$I$89,3,0)*0.475*44/12</f>
        <v>#N/A</v>
      </c>
      <c r="AW173" s="21" t="e">
        <f>EXP(-LN(2)/2)*AW172+(1-EXP(-LN(2)/2))/(LN(2)/2)*AQ173*AT173*VLOOKUP('Données projet'!$B$10,Paramètres!$A$1:$I$89,3,0)*0.475*44/12</f>
        <v>#N/A</v>
      </c>
      <c r="AX173" s="21" t="e">
        <f t="shared" si="166"/>
        <v>#N/A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1">
        <f t="shared" si="140"/>
        <v>25.375280233490745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7">
        <f t="shared" si="110"/>
        <v>500.1410630733302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4.5474735088646412E-13</v>
      </c>
      <c r="O174" s="13">
        <f>N174*VLOOKUP('Données projet'!$B$9,Paramètres!$A$1:$I$89,3,0)*VLOOKUP('Données projet'!$B$9,Paramètres!$A$1:$I$89,5,0)</f>
        <v>2.7193891583010558E-13</v>
      </c>
      <c r="P174" s="13">
        <f t="shared" si="141"/>
        <v>3.6362267729089988E-12</v>
      </c>
      <c r="Q174" s="20">
        <f t="shared" si="162"/>
        <v>6.8067219078872727E-12</v>
      </c>
      <c r="R174" s="59">
        <f t="shared" si="109"/>
        <v>293.33333333334014</v>
      </c>
      <c r="S174" s="59">
        <f ca="1">AVERAGE(OFFSET($R$3,0,0,'Données projet'!$E$9+1,1))-AVERAGE(OFFSET($H$3,0,0,'Données projet'!$E$9+1,1))</f>
        <v>252.28378247570731</v>
      </c>
      <c r="T174" s="59">
        <f t="shared" si="142"/>
        <v>263.50418595307343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1.7988875179208115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2.4173906752742249E-20</v>
      </c>
      <c r="AC174" s="22">
        <f t="shared" si="163"/>
        <v>1.7988875179208115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 t="e">
        <f>AI174*VLOOKUP('Données projet'!$B$10,Paramètres!$A$1:$I$89,3,0)*VLOOKUP('Données projet'!$B$10,Paramètres!$A$1:$I$89,5,0)</f>
        <v>#N/A</v>
      </c>
      <c r="AK174" s="13" t="e">
        <f t="shared" si="164"/>
        <v>#N/A</v>
      </c>
      <c r="AL174" s="20" t="e">
        <f t="shared" si="165"/>
        <v>#N/A</v>
      </c>
      <c r="AM174" s="59" t="e">
        <f t="shared" si="113"/>
        <v>#N/A</v>
      </c>
      <c r="AN174" s="59" t="e">
        <f ca="1">AVERAGE(OFFSET($AM$3,0,0,'Données projet'!$E$10+1,1))-AVERAGE(OFFSET($H$3,0,0,'Données projet'!$E$10+1,1))</f>
        <v>#N/A</v>
      </c>
      <c r="AO174" s="59" t="e">
        <f t="shared" si="144"/>
        <v>#N/A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 t="e">
        <f>EXP(-LN(2)/35)*AU173+(1-EXP(-LN(2)/35))/(LN(2)/35)*AQ174*AR174*VLOOKUP('Données projet'!$B$10,Paramètres!$A$1:$I$89,3,0)*0.475*44/12</f>
        <v>#N/A</v>
      </c>
      <c r="AV174" s="21" t="e">
        <f>EXP(-LN(2)/25)*AV173+(1-EXP(-LN(2)/25))/(LN(2)/25)*Calculateur!AQ174*Calculateur!AS174*VLOOKUP('Données projet'!$B$10,Paramètres!$A$1:$I$89,3,0)*0.475*44/12</f>
        <v>#N/A</v>
      </c>
      <c r="AW174" s="21" t="e">
        <f>EXP(-LN(2)/2)*AW173+(1-EXP(-LN(2)/2))/(LN(2)/2)*AQ174*AT174*VLOOKUP('Données projet'!$B$10,Paramètres!$A$1:$I$89,3,0)*0.475*44/12</f>
        <v>#N/A</v>
      </c>
      <c r="AX174" s="21" t="e">
        <f t="shared" si="166"/>
        <v>#N/A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1">
        <f t="shared" si="140"/>
        <v>25.506356157232712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7">
        <f t="shared" si="110"/>
        <v>501.32030364051411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4.5474735088646412E-13</v>
      </c>
      <c r="O175" s="13">
        <f>N175*VLOOKUP('Données projet'!$B$9,Paramètres!$A$1:$I$89,3,0)*VLOOKUP('Données projet'!$B$9,Paramètres!$A$1:$I$89,5,0)</f>
        <v>2.7193891583010558E-13</v>
      </c>
      <c r="P175" s="13">
        <f t="shared" si="141"/>
        <v>3.6362267729089988E-12</v>
      </c>
      <c r="Q175" s="20">
        <f t="shared" si="162"/>
        <v>6.8067219078872727E-12</v>
      </c>
      <c r="R175" s="59">
        <f t="shared" si="109"/>
        <v>293.33333333334014</v>
      </c>
      <c r="S175" s="59">
        <f ca="1">AVERAGE(OFFSET($R$3,0,0,'Données projet'!$E$9+1,1))-AVERAGE(OFFSET($H$3,0,0,'Données projet'!$E$9+1,1))</f>
        <v>252.28378247570731</v>
      </c>
      <c r="T175" s="59">
        <f t="shared" si="142"/>
        <v>263.50418595307343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1.7636124309074295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1.7093533392635317E-20</v>
      </c>
      <c r="AC175" s="22">
        <f t="shared" si="163"/>
        <v>1.7636124309074295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 t="e">
        <f>AI175*VLOOKUP('Données projet'!$B$10,Paramètres!$A$1:$I$89,3,0)*VLOOKUP('Données projet'!$B$10,Paramètres!$A$1:$I$89,5,0)</f>
        <v>#N/A</v>
      </c>
      <c r="AK175" s="13" t="e">
        <f t="shared" si="164"/>
        <v>#N/A</v>
      </c>
      <c r="AL175" s="20" t="e">
        <f t="shared" si="165"/>
        <v>#N/A</v>
      </c>
      <c r="AM175" s="59" t="e">
        <f t="shared" si="113"/>
        <v>#N/A</v>
      </c>
      <c r="AN175" s="59" t="e">
        <f ca="1">AVERAGE(OFFSET($AM$3,0,0,'Données projet'!$E$10+1,1))-AVERAGE(OFFSET($H$3,0,0,'Données projet'!$E$10+1,1))</f>
        <v>#N/A</v>
      </c>
      <c r="AO175" s="59" t="e">
        <f t="shared" si="144"/>
        <v>#N/A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 t="e">
        <f>EXP(-LN(2)/35)*AU174+(1-EXP(-LN(2)/35))/(LN(2)/35)*AQ175*AR175*VLOOKUP('Données projet'!$B$10,Paramètres!$A$1:$I$89,3,0)*0.475*44/12</f>
        <v>#N/A</v>
      </c>
      <c r="AV175" s="21" t="e">
        <f>EXP(-LN(2)/25)*AV174+(1-EXP(-LN(2)/25))/(LN(2)/25)*Calculateur!AQ175*Calculateur!AS175*VLOOKUP('Données projet'!$B$10,Paramètres!$A$1:$I$89,3,0)*0.475*44/12</f>
        <v>#N/A</v>
      </c>
      <c r="AW175" s="21" t="e">
        <f>EXP(-LN(2)/2)*AW174+(1-EXP(-LN(2)/2))/(LN(2)/2)*AQ175*AT175*VLOOKUP('Données projet'!$B$10,Paramètres!$A$1:$I$89,3,0)*0.475*44/12</f>
        <v>#N/A</v>
      </c>
      <c r="AX175" s="21" t="e">
        <f t="shared" si="166"/>
        <v>#N/A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1">
        <f t="shared" si="140"/>
        <v>25.637343405585391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7">
        <f t="shared" si="110"/>
        <v>502.49938976472833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4.5474735088646412E-13</v>
      </c>
      <c r="O176" s="13">
        <f>N176*VLOOKUP('Données projet'!$B$9,Paramètres!$A$1:$I$89,3,0)*VLOOKUP('Données projet'!$B$9,Paramètres!$A$1:$I$89,5,0)</f>
        <v>2.7193891583010558E-13</v>
      </c>
      <c r="P176" s="13">
        <f t="shared" si="141"/>
        <v>3.6362267729089988E-12</v>
      </c>
      <c r="Q176" s="20">
        <f t="shared" si="162"/>
        <v>6.8067219078872727E-12</v>
      </c>
      <c r="R176" s="59">
        <f t="shared" si="109"/>
        <v>293.33333333334014</v>
      </c>
      <c r="S176" s="59">
        <f ca="1">AVERAGE(OFFSET($R$3,0,0,'Données projet'!$E$9+1,1))-AVERAGE(OFFSET($H$3,0,0,'Données projet'!$E$9+1,1))</f>
        <v>252.28378247570731</v>
      </c>
      <c r="T176" s="59">
        <f t="shared" si="142"/>
        <v>263.50418595307343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1.7290290668347013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1.2086953376371125E-20</v>
      </c>
      <c r="AC176" s="22">
        <f t="shared" si="163"/>
        <v>1.7290290668347013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 t="e">
        <f>AI176*VLOOKUP('Données projet'!$B$10,Paramètres!$A$1:$I$89,3,0)*VLOOKUP('Données projet'!$B$10,Paramètres!$A$1:$I$89,5,0)</f>
        <v>#N/A</v>
      </c>
      <c r="AK176" s="13" t="e">
        <f t="shared" si="164"/>
        <v>#N/A</v>
      </c>
      <c r="AL176" s="20" t="e">
        <f t="shared" si="165"/>
        <v>#N/A</v>
      </c>
      <c r="AM176" s="59" t="e">
        <f t="shared" si="113"/>
        <v>#N/A</v>
      </c>
      <c r="AN176" s="59" t="e">
        <f ca="1">AVERAGE(OFFSET($AM$3,0,0,'Données projet'!$E$10+1,1))-AVERAGE(OFFSET($H$3,0,0,'Données projet'!$E$10+1,1))</f>
        <v>#N/A</v>
      </c>
      <c r="AO176" s="59" t="e">
        <f t="shared" si="144"/>
        <v>#N/A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 t="e">
        <f>EXP(-LN(2)/35)*AU175+(1-EXP(-LN(2)/35))/(LN(2)/35)*AQ176*AR176*VLOOKUP('Données projet'!$B$10,Paramètres!$A$1:$I$89,3,0)*0.475*44/12</f>
        <v>#N/A</v>
      </c>
      <c r="AV176" s="21" t="e">
        <f>EXP(-LN(2)/25)*AV175+(1-EXP(-LN(2)/25))/(LN(2)/25)*Calculateur!AQ176*Calculateur!AS176*VLOOKUP('Données projet'!$B$10,Paramètres!$A$1:$I$89,3,0)*0.475*44/12</f>
        <v>#N/A</v>
      </c>
      <c r="AW176" s="21" t="e">
        <f>EXP(-LN(2)/2)*AW175+(1-EXP(-LN(2)/2))/(LN(2)/2)*AQ176*AT176*VLOOKUP('Données projet'!$B$10,Paramètres!$A$1:$I$89,3,0)*0.475*44/12</f>
        <v>#N/A</v>
      </c>
      <c r="AX176" s="21" t="e">
        <f t="shared" si="166"/>
        <v>#N/A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1">
        <f t="shared" si="140"/>
        <v>25.768242550600831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7">
        <f t="shared" si="110"/>
        <v>503.67832244229692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4.5474735088646412E-13</v>
      </c>
      <c r="O177" s="13">
        <f>N177*VLOOKUP('Données projet'!$B$9,Paramètres!$A$1:$I$89,3,0)*VLOOKUP('Données projet'!$B$9,Paramètres!$A$1:$I$89,5,0)</f>
        <v>2.7193891583010558E-13</v>
      </c>
      <c r="P177" s="13">
        <f t="shared" si="141"/>
        <v>3.6362267729089988E-12</v>
      </c>
      <c r="Q177" s="20">
        <f t="shared" si="162"/>
        <v>6.8067219078872727E-12</v>
      </c>
      <c r="R177" s="59">
        <f t="shared" si="109"/>
        <v>293.33333333334014</v>
      </c>
      <c r="S177" s="59">
        <f ca="1">AVERAGE(OFFSET($R$3,0,0,'Données projet'!$E$9+1,1))-AVERAGE(OFFSET($H$3,0,0,'Données projet'!$E$9+1,1))</f>
        <v>252.28378247570731</v>
      </c>
      <c r="T177" s="59">
        <f t="shared" si="142"/>
        <v>263.50418595307343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1.69512386143767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8.5467666963176586E-21</v>
      </c>
      <c r="AC177" s="22">
        <f t="shared" si="163"/>
        <v>1.69512386143767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 t="e">
        <f>AI177*VLOOKUP('Données projet'!$B$10,Paramètres!$A$1:$I$89,3,0)*VLOOKUP('Données projet'!$B$10,Paramètres!$A$1:$I$89,5,0)</f>
        <v>#N/A</v>
      </c>
      <c r="AK177" s="13" t="e">
        <f t="shared" si="164"/>
        <v>#N/A</v>
      </c>
      <c r="AL177" s="20" t="e">
        <f t="shared" si="165"/>
        <v>#N/A</v>
      </c>
      <c r="AM177" s="59" t="e">
        <f t="shared" si="113"/>
        <v>#N/A</v>
      </c>
      <c r="AN177" s="59" t="e">
        <f ca="1">AVERAGE(OFFSET($AM$3,0,0,'Données projet'!$E$10+1,1))-AVERAGE(OFFSET($H$3,0,0,'Données projet'!$E$10+1,1))</f>
        <v>#N/A</v>
      </c>
      <c r="AO177" s="59" t="e">
        <f t="shared" si="144"/>
        <v>#N/A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 t="e">
        <f>EXP(-LN(2)/35)*AU176+(1-EXP(-LN(2)/35))/(LN(2)/35)*AQ177*AR177*VLOOKUP('Données projet'!$B$10,Paramètres!$A$1:$I$89,3,0)*0.475*44/12</f>
        <v>#N/A</v>
      </c>
      <c r="AV177" s="21" t="e">
        <f>EXP(-LN(2)/25)*AV176+(1-EXP(-LN(2)/25))/(LN(2)/25)*Calculateur!AQ177*Calculateur!AS177*VLOOKUP('Données projet'!$B$10,Paramètres!$A$1:$I$89,3,0)*0.475*44/12</f>
        <v>#N/A</v>
      </c>
      <c r="AW177" s="21" t="e">
        <f>EXP(-LN(2)/2)*AW176+(1-EXP(-LN(2)/2))/(LN(2)/2)*AQ177*AT177*VLOOKUP('Données projet'!$B$10,Paramètres!$A$1:$I$89,3,0)*0.475*44/12</f>
        <v>#N/A</v>
      </c>
      <c r="AX177" s="21" t="e">
        <f t="shared" si="166"/>
        <v>#N/A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1">
        <f t="shared" si="140"/>
        <v>25.89905415737541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7">
        <f t="shared" si="110"/>
        <v>504.85710265742932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4.5474735088646412E-13</v>
      </c>
      <c r="O178" s="13">
        <f>N178*VLOOKUP('Données projet'!$B$9,Paramètres!$A$1:$I$89,3,0)*VLOOKUP('Données projet'!$B$9,Paramètres!$A$1:$I$89,5,0)</f>
        <v>2.7193891583010558E-13</v>
      </c>
      <c r="P178" s="13">
        <f t="shared" si="141"/>
        <v>3.6362267729089988E-12</v>
      </c>
      <c r="Q178" s="20">
        <f t="shared" si="162"/>
        <v>6.8067219078872727E-12</v>
      </c>
      <c r="R178" s="59">
        <f t="shared" si="109"/>
        <v>293.33333333334014</v>
      </c>
      <c r="S178" s="59">
        <f ca="1">AVERAGE(OFFSET($R$3,0,0,'Données projet'!$E$9+1,1))-AVERAGE(OFFSET($H$3,0,0,'Données projet'!$E$9+1,1))</f>
        <v>252.28378247570731</v>
      </c>
      <c r="T178" s="59">
        <f t="shared" si="142"/>
        <v>263.50418595307343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1.6618835164383414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6.0434766881855623E-21</v>
      </c>
      <c r="AC178" s="22">
        <f t="shared" si="163"/>
        <v>1.6618835164383414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 t="e">
        <f>AI178*VLOOKUP('Données projet'!$B$10,Paramètres!$A$1:$I$89,3,0)*VLOOKUP('Données projet'!$B$10,Paramètres!$A$1:$I$89,5,0)</f>
        <v>#N/A</v>
      </c>
      <c r="AK178" s="13" t="e">
        <f t="shared" si="164"/>
        <v>#N/A</v>
      </c>
      <c r="AL178" s="20" t="e">
        <f t="shared" si="165"/>
        <v>#N/A</v>
      </c>
      <c r="AM178" s="59" t="e">
        <f t="shared" si="113"/>
        <v>#N/A</v>
      </c>
      <c r="AN178" s="59" t="e">
        <f ca="1">AVERAGE(OFFSET($AM$3,0,0,'Données projet'!$E$10+1,1))-AVERAGE(OFFSET($H$3,0,0,'Données projet'!$E$10+1,1))</f>
        <v>#N/A</v>
      </c>
      <c r="AO178" s="59" t="e">
        <f t="shared" si="144"/>
        <v>#N/A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 t="e">
        <f>EXP(-LN(2)/35)*AU177+(1-EXP(-LN(2)/35))/(LN(2)/35)*AQ178*AR178*VLOOKUP('Données projet'!$B$10,Paramètres!$A$1:$I$89,3,0)*0.475*44/12</f>
        <v>#N/A</v>
      </c>
      <c r="AV178" s="21" t="e">
        <f>EXP(-LN(2)/25)*AV177+(1-EXP(-LN(2)/25))/(LN(2)/25)*Calculateur!AQ178*Calculateur!AS178*VLOOKUP('Données projet'!$B$10,Paramètres!$A$1:$I$89,3,0)*0.475*44/12</f>
        <v>#N/A</v>
      </c>
      <c r="AW178" s="21" t="e">
        <f>EXP(-LN(2)/2)*AW177+(1-EXP(-LN(2)/2))/(LN(2)/2)*AQ178*AT178*VLOOKUP('Données projet'!$B$10,Paramètres!$A$1:$I$89,3,0)*0.475*44/12</f>
        <v>#N/A</v>
      </c>
      <c r="AX178" s="21" t="e">
        <f t="shared" si="166"/>
        <v>#N/A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1">
        <f t="shared" si="140"/>
        <v>26.029778784173445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7">
        <f t="shared" si="110"/>
        <v>506.03573138243593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4.5474735088646412E-13</v>
      </c>
      <c r="O179" s="13">
        <f>N179*VLOOKUP('Données projet'!$B$9,Paramètres!$A$1:$I$89,3,0)*VLOOKUP('Données projet'!$B$9,Paramètres!$A$1:$I$89,5,0)</f>
        <v>2.7193891583010558E-13</v>
      </c>
      <c r="P179" s="13">
        <f t="shared" si="141"/>
        <v>3.6362267729089988E-12</v>
      </c>
      <c r="Q179" s="20">
        <f t="shared" si="162"/>
        <v>6.8067219078872727E-12</v>
      </c>
      <c r="R179" s="59">
        <f t="shared" si="109"/>
        <v>293.33333333334014</v>
      </c>
      <c r="S179" s="59">
        <f ca="1">AVERAGE(OFFSET($R$3,0,0,'Données projet'!$E$9+1,1))-AVERAGE(OFFSET($H$3,0,0,'Données projet'!$E$9+1,1))</f>
        <v>252.28378247570731</v>
      </c>
      <c r="T179" s="59">
        <f t="shared" si="142"/>
        <v>263.50418595307343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1.6292949943298412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4.2733833481588293E-21</v>
      </c>
      <c r="AC179" s="22">
        <f t="shared" si="163"/>
        <v>1.6292949943298412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 t="e">
        <f>AI179*VLOOKUP('Données projet'!$B$10,Paramètres!$A$1:$I$89,3,0)*VLOOKUP('Données projet'!$B$10,Paramètres!$A$1:$I$89,5,0)</f>
        <v>#N/A</v>
      </c>
      <c r="AK179" s="13" t="e">
        <f t="shared" si="164"/>
        <v>#N/A</v>
      </c>
      <c r="AL179" s="20" t="e">
        <f t="shared" si="165"/>
        <v>#N/A</v>
      </c>
      <c r="AM179" s="59" t="e">
        <f t="shared" si="113"/>
        <v>#N/A</v>
      </c>
      <c r="AN179" s="59" t="e">
        <f ca="1">AVERAGE(OFFSET($AM$3,0,0,'Données projet'!$E$10+1,1))-AVERAGE(OFFSET($H$3,0,0,'Données projet'!$E$10+1,1))</f>
        <v>#N/A</v>
      </c>
      <c r="AO179" s="59" t="e">
        <f t="shared" si="144"/>
        <v>#N/A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 t="e">
        <f>EXP(-LN(2)/35)*AU178+(1-EXP(-LN(2)/35))/(LN(2)/35)*AQ179*AR179*VLOOKUP('Données projet'!$B$10,Paramètres!$A$1:$I$89,3,0)*0.475*44/12</f>
        <v>#N/A</v>
      </c>
      <c r="AV179" s="21" t="e">
        <f>EXP(-LN(2)/25)*AV178+(1-EXP(-LN(2)/25))/(LN(2)/25)*Calculateur!AQ179*Calculateur!AS179*VLOOKUP('Données projet'!$B$10,Paramètres!$A$1:$I$89,3,0)*0.475*44/12</f>
        <v>#N/A</v>
      </c>
      <c r="AW179" s="21" t="e">
        <f>EXP(-LN(2)/2)*AW178+(1-EXP(-LN(2)/2))/(LN(2)/2)*AQ179*AT179*VLOOKUP('Données projet'!$B$10,Paramètres!$A$1:$I$89,3,0)*0.475*44/12</f>
        <v>#N/A</v>
      </c>
      <c r="AX179" s="21" t="e">
        <f t="shared" si="166"/>
        <v>#N/A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1">
        <f t="shared" si="140"/>
        <v>26.160416982548288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7">
        <f t="shared" si="110"/>
        <v>507.21420957793879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4.5474735088646412E-13</v>
      </c>
      <c r="O180" s="13">
        <f>N180*VLOOKUP('Données projet'!$B$9,Paramètres!$A$1:$I$89,3,0)*VLOOKUP('Données projet'!$B$9,Paramètres!$A$1:$I$89,5,0)</f>
        <v>2.7193891583010558E-13</v>
      </c>
      <c r="P180" s="13">
        <f t="shared" si="141"/>
        <v>3.6362267729089988E-12</v>
      </c>
      <c r="Q180" s="20">
        <f t="shared" si="162"/>
        <v>6.8067219078872727E-12</v>
      </c>
      <c r="R180" s="59">
        <f t="shared" si="109"/>
        <v>293.33333333334014</v>
      </c>
      <c r="S180" s="59">
        <f ca="1">AVERAGE(OFFSET($R$3,0,0,'Données projet'!$E$9+1,1))-AVERAGE(OFFSET($H$3,0,0,'Données projet'!$E$9+1,1))</f>
        <v>252.28378247570731</v>
      </c>
      <c r="T180" s="59">
        <f t="shared" si="142"/>
        <v>263.50418595307343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1.5973455132628527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3.0217383440927812E-21</v>
      </c>
      <c r="AC180" s="22">
        <f t="shared" si="163"/>
        <v>1.5973455132628527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 t="e">
        <f>AI180*VLOOKUP('Données projet'!$B$10,Paramètres!$A$1:$I$89,3,0)*VLOOKUP('Données projet'!$B$10,Paramètres!$A$1:$I$89,5,0)</f>
        <v>#N/A</v>
      </c>
      <c r="AK180" s="13" t="e">
        <f t="shared" si="164"/>
        <v>#N/A</v>
      </c>
      <c r="AL180" s="20" t="e">
        <f t="shared" si="165"/>
        <v>#N/A</v>
      </c>
      <c r="AM180" s="59" t="e">
        <f t="shared" si="113"/>
        <v>#N/A</v>
      </c>
      <c r="AN180" s="59" t="e">
        <f ca="1">AVERAGE(OFFSET($AM$3,0,0,'Données projet'!$E$10+1,1))-AVERAGE(OFFSET($H$3,0,0,'Données projet'!$E$10+1,1))</f>
        <v>#N/A</v>
      </c>
      <c r="AO180" s="59" t="e">
        <f t="shared" si="144"/>
        <v>#N/A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 t="e">
        <f>EXP(-LN(2)/35)*AU179+(1-EXP(-LN(2)/35))/(LN(2)/35)*AQ180*AR180*VLOOKUP('Données projet'!$B$10,Paramètres!$A$1:$I$89,3,0)*0.475*44/12</f>
        <v>#N/A</v>
      </c>
      <c r="AV180" s="21" t="e">
        <f>EXP(-LN(2)/25)*AV179+(1-EXP(-LN(2)/25))/(LN(2)/25)*Calculateur!AQ180*Calculateur!AS180*VLOOKUP('Données projet'!$B$10,Paramètres!$A$1:$I$89,3,0)*0.475*44/12</f>
        <v>#N/A</v>
      </c>
      <c r="AW180" s="21" t="e">
        <f>EXP(-LN(2)/2)*AW179+(1-EXP(-LN(2)/2))/(LN(2)/2)*AQ180*AT180*VLOOKUP('Données projet'!$B$10,Paramètres!$A$1:$I$89,3,0)*0.475*44/12</f>
        <v>#N/A</v>
      </c>
      <c r="AX180" s="21" t="e">
        <f t="shared" si="166"/>
        <v>#N/A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1">
        <f t="shared" si="140"/>
        <v>26.290969297460425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7">
        <f t="shared" si="110"/>
        <v>508.39253819307743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4.5474735088646412E-13</v>
      </c>
      <c r="O181" s="13">
        <f>N181*VLOOKUP('Données projet'!$B$9,Paramètres!$A$1:$I$89,3,0)*VLOOKUP('Données projet'!$B$9,Paramètres!$A$1:$I$89,5,0)</f>
        <v>2.7193891583010558E-13</v>
      </c>
      <c r="P181" s="13">
        <f t="shared" si="141"/>
        <v>3.6362267729089988E-12</v>
      </c>
      <c r="Q181" s="20">
        <f t="shared" si="162"/>
        <v>6.8067219078872727E-12</v>
      </c>
      <c r="R181" s="59">
        <f t="shared" si="109"/>
        <v>293.33333333334014</v>
      </c>
      <c r="S181" s="59">
        <f ca="1">AVERAGE(OFFSET($R$3,0,0,'Données projet'!$E$9+1,1))-AVERAGE(OFFSET($H$3,0,0,'Données projet'!$E$9+1,1))</f>
        <v>252.28378247570731</v>
      </c>
      <c r="T181" s="59">
        <f t="shared" si="142"/>
        <v>263.50418595307343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1.5660225420323286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2.1366916740794146E-21</v>
      </c>
      <c r="AC181" s="22">
        <f t="shared" si="163"/>
        <v>1.5660225420323286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 t="e">
        <f>AI181*VLOOKUP('Données projet'!$B$10,Paramètres!$A$1:$I$89,3,0)*VLOOKUP('Données projet'!$B$10,Paramètres!$A$1:$I$89,5,0)</f>
        <v>#N/A</v>
      </c>
      <c r="AK181" s="13" t="e">
        <f t="shared" si="164"/>
        <v>#N/A</v>
      </c>
      <c r="AL181" s="20" t="e">
        <f t="shared" si="165"/>
        <v>#N/A</v>
      </c>
      <c r="AM181" s="59" t="e">
        <f t="shared" si="113"/>
        <v>#N/A</v>
      </c>
      <c r="AN181" s="59" t="e">
        <f ca="1">AVERAGE(OFFSET($AM$3,0,0,'Données projet'!$E$10+1,1))-AVERAGE(OFFSET($H$3,0,0,'Données projet'!$E$10+1,1))</f>
        <v>#N/A</v>
      </c>
      <c r="AO181" s="59" t="e">
        <f t="shared" si="144"/>
        <v>#N/A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 t="e">
        <f>EXP(-LN(2)/35)*AU180+(1-EXP(-LN(2)/35))/(LN(2)/35)*AQ181*AR181*VLOOKUP('Données projet'!$B$10,Paramètres!$A$1:$I$89,3,0)*0.475*44/12</f>
        <v>#N/A</v>
      </c>
      <c r="AV181" s="21" t="e">
        <f>EXP(-LN(2)/25)*AV180+(1-EXP(-LN(2)/25))/(LN(2)/25)*Calculateur!AQ181*Calculateur!AS181*VLOOKUP('Données projet'!$B$10,Paramètres!$A$1:$I$89,3,0)*0.475*44/12</f>
        <v>#N/A</v>
      </c>
      <c r="AW181" s="21" t="e">
        <f>EXP(-LN(2)/2)*AW180+(1-EXP(-LN(2)/2))/(LN(2)/2)*AQ181*AT181*VLOOKUP('Données projet'!$B$10,Paramètres!$A$1:$I$89,3,0)*0.475*44/12</f>
        <v>#N/A</v>
      </c>
      <c r="AX181" s="21" t="e">
        <f t="shared" si="166"/>
        <v>#N/A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1">
        <f t="shared" si="140"/>
        <v>26.421436267392767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7">
        <f t="shared" si="110"/>
        <v>509.57071816570965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4.5474735088646412E-13</v>
      </c>
      <c r="O182" s="13">
        <f>N182*VLOOKUP('Données projet'!$B$9,Paramètres!$A$1:$I$89,3,0)*VLOOKUP('Données projet'!$B$9,Paramètres!$A$1:$I$89,5,0)</f>
        <v>2.7193891583010558E-13</v>
      </c>
      <c r="P182" s="13">
        <f t="shared" si="141"/>
        <v>3.6362267729089988E-12</v>
      </c>
      <c r="Q182" s="20">
        <f t="shared" si="162"/>
        <v>6.8067219078872727E-12</v>
      </c>
      <c r="R182" s="59">
        <f t="shared" si="109"/>
        <v>293.33333333334014</v>
      </c>
      <c r="S182" s="59">
        <f ca="1">AVERAGE(OFFSET($R$3,0,0,'Données projet'!$E$9+1,1))-AVERAGE(OFFSET($H$3,0,0,'Données projet'!$E$9+1,1))</f>
        <v>252.28378247570731</v>
      </c>
      <c r="T182" s="59">
        <f t="shared" si="142"/>
        <v>263.50418595307343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1.5353137951625091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1.5108691720463906E-21</v>
      </c>
      <c r="AC182" s="22">
        <f t="shared" si="163"/>
        <v>1.5353137951625091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 t="e">
        <f>AI182*VLOOKUP('Données projet'!$B$10,Paramètres!$A$1:$I$89,3,0)*VLOOKUP('Données projet'!$B$10,Paramètres!$A$1:$I$89,5,0)</f>
        <v>#N/A</v>
      </c>
      <c r="AK182" s="13" t="e">
        <f t="shared" si="164"/>
        <v>#N/A</v>
      </c>
      <c r="AL182" s="20" t="e">
        <f t="shared" si="165"/>
        <v>#N/A</v>
      </c>
      <c r="AM182" s="59" t="e">
        <f t="shared" si="113"/>
        <v>#N/A</v>
      </c>
      <c r="AN182" s="59" t="e">
        <f ca="1">AVERAGE(OFFSET($AM$3,0,0,'Données projet'!$E$10+1,1))-AVERAGE(OFFSET($H$3,0,0,'Données projet'!$E$10+1,1))</f>
        <v>#N/A</v>
      </c>
      <c r="AO182" s="59" t="e">
        <f t="shared" si="144"/>
        <v>#N/A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 t="e">
        <f>EXP(-LN(2)/35)*AU181+(1-EXP(-LN(2)/35))/(LN(2)/35)*AQ182*AR182*VLOOKUP('Données projet'!$B$10,Paramètres!$A$1:$I$89,3,0)*0.475*44/12</f>
        <v>#N/A</v>
      </c>
      <c r="AV182" s="21" t="e">
        <f>EXP(-LN(2)/25)*AV181+(1-EXP(-LN(2)/25))/(LN(2)/25)*Calculateur!AQ182*Calculateur!AS182*VLOOKUP('Données projet'!$B$10,Paramètres!$A$1:$I$89,3,0)*0.475*44/12</f>
        <v>#N/A</v>
      </c>
      <c r="AW182" s="21" t="e">
        <f>EXP(-LN(2)/2)*AW181+(1-EXP(-LN(2)/2))/(LN(2)/2)*AQ182*AT182*VLOOKUP('Données projet'!$B$10,Paramètres!$A$1:$I$89,3,0)*0.475*44/12</f>
        <v>#N/A</v>
      </c>
      <c r="AX182" s="21" t="e">
        <f t="shared" si="166"/>
        <v>#N/A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1">
        <f t="shared" si="140"/>
        <v>26.551818424463544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7">
        <f t="shared" si="110"/>
        <v>510.74875042260788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4.5474735088646412E-13</v>
      </c>
      <c r="O183" s="13">
        <f>N183*VLOOKUP('Données projet'!$B$9,Paramètres!$A$1:$I$89,3,0)*VLOOKUP('Données projet'!$B$9,Paramètres!$A$1:$I$89,5,0)</f>
        <v>2.7193891583010558E-13</v>
      </c>
      <c r="P183" s="13">
        <f t="shared" si="141"/>
        <v>3.6362267729089988E-12</v>
      </c>
      <c r="Q183" s="20">
        <f t="shared" si="162"/>
        <v>6.8067219078872727E-12</v>
      </c>
      <c r="R183" s="59">
        <f t="shared" si="109"/>
        <v>293.33333333334014</v>
      </c>
      <c r="S183" s="59">
        <f ca="1">AVERAGE(OFFSET($R$3,0,0,'Données projet'!$E$9+1,1))-AVERAGE(OFFSET($H$3,0,0,'Données projet'!$E$9+1,1))</f>
        <v>252.28378247570731</v>
      </c>
      <c r="T183" s="59">
        <f t="shared" si="142"/>
        <v>263.50418595307343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1.5052072280883206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1.0683458370397073E-21</v>
      </c>
      <c r="AC183" s="22">
        <f t="shared" si="163"/>
        <v>1.5052072280883206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 t="e">
        <f>AI183*VLOOKUP('Données projet'!$B$10,Paramètres!$A$1:$I$89,3,0)*VLOOKUP('Données projet'!$B$10,Paramètres!$A$1:$I$89,5,0)</f>
        <v>#N/A</v>
      </c>
      <c r="AK183" s="13" t="e">
        <f t="shared" si="164"/>
        <v>#N/A</v>
      </c>
      <c r="AL183" s="20" t="e">
        <f t="shared" si="165"/>
        <v>#N/A</v>
      </c>
      <c r="AM183" s="59" t="e">
        <f t="shared" si="113"/>
        <v>#N/A</v>
      </c>
      <c r="AN183" s="59" t="e">
        <f ca="1">AVERAGE(OFFSET($AM$3,0,0,'Données projet'!$E$10+1,1))-AVERAGE(OFFSET($H$3,0,0,'Données projet'!$E$10+1,1))</f>
        <v>#N/A</v>
      </c>
      <c r="AO183" s="59" t="e">
        <f t="shared" si="144"/>
        <v>#N/A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 t="e">
        <f>EXP(-LN(2)/35)*AU182+(1-EXP(-LN(2)/35))/(LN(2)/35)*AQ183*AR183*VLOOKUP('Données projet'!$B$10,Paramètres!$A$1:$I$89,3,0)*0.475*44/12</f>
        <v>#N/A</v>
      </c>
      <c r="AV183" s="21" t="e">
        <f>EXP(-LN(2)/25)*AV182+(1-EXP(-LN(2)/25))/(LN(2)/25)*Calculateur!AQ183*Calculateur!AS183*VLOOKUP('Données projet'!$B$10,Paramètres!$A$1:$I$89,3,0)*0.475*44/12</f>
        <v>#N/A</v>
      </c>
      <c r="AW183" s="21" t="e">
        <f>EXP(-LN(2)/2)*AW182+(1-EXP(-LN(2)/2))/(LN(2)/2)*AQ183*AT183*VLOOKUP('Données projet'!$B$10,Paramètres!$A$1:$I$89,3,0)*0.475*44/12</f>
        <v>#N/A</v>
      </c>
      <c r="AX183" s="21" t="e">
        <f t="shared" si="166"/>
        <v>#N/A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1">
        <f t="shared" si="140"/>
        <v>26.682116294536339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7">
        <f t="shared" si="110"/>
        <v>511.92663587965137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4.5474735088646412E-13</v>
      </c>
      <c r="O184" s="13">
        <f>N184*VLOOKUP('Données projet'!$B$9,Paramètres!$A$1:$I$89,3,0)*VLOOKUP('Données projet'!$B$9,Paramètres!$A$1:$I$89,5,0)</f>
        <v>2.7193891583010558E-13</v>
      </c>
      <c r="P184" s="13">
        <f t="shared" si="141"/>
        <v>3.6362267729089988E-12</v>
      </c>
      <c r="Q184" s="20">
        <f t="shared" si="162"/>
        <v>6.8067219078872727E-12</v>
      </c>
      <c r="R184" s="59">
        <f t="shared" si="109"/>
        <v>293.33333333334014</v>
      </c>
      <c r="S184" s="59">
        <f ca="1">AVERAGE(OFFSET($R$3,0,0,'Données projet'!$E$9+1,1))-AVERAGE(OFFSET($H$3,0,0,'Données projet'!$E$9+1,1))</f>
        <v>252.28378247570731</v>
      </c>
      <c r="T184" s="59">
        <f t="shared" si="142"/>
        <v>263.50418595307343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1.4756910324312644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7.5543458602319529E-22</v>
      </c>
      <c r="AC184" s="22">
        <f t="shared" si="163"/>
        <v>1.4756910324312644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 t="e">
        <f>AI184*VLOOKUP('Données projet'!$B$10,Paramètres!$A$1:$I$89,3,0)*VLOOKUP('Données projet'!$B$10,Paramètres!$A$1:$I$89,5,0)</f>
        <v>#N/A</v>
      </c>
      <c r="AK184" s="13" t="e">
        <f t="shared" si="164"/>
        <v>#N/A</v>
      </c>
      <c r="AL184" s="20" t="e">
        <f t="shared" si="165"/>
        <v>#N/A</v>
      </c>
      <c r="AM184" s="59" t="e">
        <f t="shared" si="113"/>
        <v>#N/A</v>
      </c>
      <c r="AN184" s="59" t="e">
        <f ca="1">AVERAGE(OFFSET($AM$3,0,0,'Données projet'!$E$10+1,1))-AVERAGE(OFFSET($H$3,0,0,'Données projet'!$E$10+1,1))</f>
        <v>#N/A</v>
      </c>
      <c r="AO184" s="59" t="e">
        <f t="shared" si="144"/>
        <v>#N/A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 t="e">
        <f>EXP(-LN(2)/35)*AU183+(1-EXP(-LN(2)/35))/(LN(2)/35)*AQ184*AR184*VLOOKUP('Données projet'!$B$10,Paramètres!$A$1:$I$89,3,0)*0.475*44/12</f>
        <v>#N/A</v>
      </c>
      <c r="AV184" s="21" t="e">
        <f>EXP(-LN(2)/25)*AV183+(1-EXP(-LN(2)/25))/(LN(2)/25)*Calculateur!AQ184*Calculateur!AS184*VLOOKUP('Données projet'!$B$10,Paramètres!$A$1:$I$89,3,0)*0.475*44/12</f>
        <v>#N/A</v>
      </c>
      <c r="AW184" s="21" t="e">
        <f>EXP(-LN(2)/2)*AW183+(1-EXP(-LN(2)/2))/(LN(2)/2)*AQ184*AT184*VLOOKUP('Données projet'!$B$10,Paramètres!$A$1:$I$89,3,0)*0.475*44/12</f>
        <v>#N/A</v>
      </c>
      <c r="AX184" s="21" t="e">
        <f t="shared" si="166"/>
        <v>#N/A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1">
        <f t="shared" si="140"/>
        <v>26.812330397327784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7">
        <f t="shared" si="110"/>
        <v>513.10437544201318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4.5474735088646412E-13</v>
      </c>
      <c r="O185" s="13">
        <f>N185*VLOOKUP('Données projet'!$B$9,Paramètres!$A$1:$I$89,3,0)*VLOOKUP('Données projet'!$B$9,Paramètres!$A$1:$I$89,5,0)</f>
        <v>2.7193891583010558E-13</v>
      </c>
      <c r="P185" s="13">
        <f t="shared" si="141"/>
        <v>3.6362267729089988E-12</v>
      </c>
      <c r="Q185" s="20">
        <f t="shared" si="162"/>
        <v>6.8067219078872727E-12</v>
      </c>
      <c r="R185" s="59">
        <f t="shared" si="109"/>
        <v>293.33333333334014</v>
      </c>
      <c r="S185" s="59">
        <f ca="1">AVERAGE(OFFSET($R$3,0,0,'Données projet'!$E$9+1,1))-AVERAGE(OFFSET($H$3,0,0,'Données projet'!$E$9+1,1))</f>
        <v>252.28378247570731</v>
      </c>
      <c r="T185" s="59">
        <f t="shared" si="142"/>
        <v>263.50418595307343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1.4467536313679414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5.3417291851985366E-22</v>
      </c>
      <c r="AC185" s="22">
        <f t="shared" si="163"/>
        <v>1.4467536313679414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 t="e">
        <f>AI185*VLOOKUP('Données projet'!$B$10,Paramètres!$A$1:$I$89,3,0)*VLOOKUP('Données projet'!$B$10,Paramètres!$A$1:$I$89,5,0)</f>
        <v>#N/A</v>
      </c>
      <c r="AK185" s="13" t="e">
        <f t="shared" si="164"/>
        <v>#N/A</v>
      </c>
      <c r="AL185" s="20" t="e">
        <f t="shared" si="165"/>
        <v>#N/A</v>
      </c>
      <c r="AM185" s="59" t="e">
        <f t="shared" si="113"/>
        <v>#N/A</v>
      </c>
      <c r="AN185" s="59" t="e">
        <f ca="1">AVERAGE(OFFSET($AM$3,0,0,'Données projet'!$E$10+1,1))-AVERAGE(OFFSET($H$3,0,0,'Données projet'!$E$10+1,1))</f>
        <v>#N/A</v>
      </c>
      <c r="AO185" s="59" t="e">
        <f t="shared" si="144"/>
        <v>#N/A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 t="e">
        <f>EXP(-LN(2)/35)*AU184+(1-EXP(-LN(2)/35))/(LN(2)/35)*AQ185*AR185*VLOOKUP('Données projet'!$B$10,Paramètres!$A$1:$I$89,3,0)*0.475*44/12</f>
        <v>#N/A</v>
      </c>
      <c r="AV185" s="21" t="e">
        <f>EXP(-LN(2)/25)*AV184+(1-EXP(-LN(2)/25))/(LN(2)/25)*Calculateur!AQ185*Calculateur!AS185*VLOOKUP('Données projet'!$B$10,Paramètres!$A$1:$I$89,3,0)*0.475*44/12</f>
        <v>#N/A</v>
      </c>
      <c r="AW185" s="21" t="e">
        <f>EXP(-LN(2)/2)*AW184+(1-EXP(-LN(2)/2))/(LN(2)/2)*AQ185*AT185*VLOOKUP('Données projet'!$B$10,Paramètres!$A$1:$I$89,3,0)*0.475*44/12</f>
        <v>#N/A</v>
      </c>
      <c r="AX185" s="21" t="e">
        <f t="shared" si="166"/>
        <v>#N/A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1">
        <f t="shared" si="140"/>
        <v>26.942461246512842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7">
        <f t="shared" si="110"/>
        <v>514.28197000434375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4.5474735088646412E-13</v>
      </c>
      <c r="O186" s="13">
        <f>N186*VLOOKUP('Données projet'!$B$9,Paramètres!$A$1:$I$89,3,0)*VLOOKUP('Données projet'!$B$9,Paramètres!$A$1:$I$89,5,0)</f>
        <v>2.7193891583010558E-13</v>
      </c>
      <c r="P186" s="13">
        <f t="shared" si="141"/>
        <v>3.6362267729089988E-12</v>
      </c>
      <c r="Q186" s="20">
        <f t="shared" si="162"/>
        <v>6.8067219078872727E-12</v>
      </c>
      <c r="R186" s="59">
        <f t="shared" si="109"/>
        <v>293.33333333334014</v>
      </c>
      <c r="S186" s="59">
        <f ca="1">AVERAGE(OFFSET($R$3,0,0,'Données projet'!$E$9+1,1))-AVERAGE(OFFSET($H$3,0,0,'Données projet'!$E$9+1,1))</f>
        <v>252.28378247570731</v>
      </c>
      <c r="T186" s="59">
        <f t="shared" si="142"/>
        <v>263.50418595307343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1.4183836750893983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3.7771729301159765E-22</v>
      </c>
      <c r="AC186" s="22">
        <f t="shared" si="163"/>
        <v>1.4183836750893983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 t="e">
        <f>AI186*VLOOKUP('Données projet'!$B$10,Paramètres!$A$1:$I$89,3,0)*VLOOKUP('Données projet'!$B$10,Paramètres!$A$1:$I$89,5,0)</f>
        <v>#N/A</v>
      </c>
      <c r="AK186" s="13" t="e">
        <f t="shared" si="164"/>
        <v>#N/A</v>
      </c>
      <c r="AL186" s="20" t="e">
        <f t="shared" si="165"/>
        <v>#N/A</v>
      </c>
      <c r="AM186" s="59" t="e">
        <f t="shared" si="113"/>
        <v>#N/A</v>
      </c>
      <c r="AN186" s="59" t="e">
        <f ca="1">AVERAGE(OFFSET($AM$3,0,0,'Données projet'!$E$10+1,1))-AVERAGE(OFFSET($H$3,0,0,'Données projet'!$E$10+1,1))</f>
        <v>#N/A</v>
      </c>
      <c r="AO186" s="59" t="e">
        <f t="shared" si="144"/>
        <v>#N/A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 t="e">
        <f>EXP(-LN(2)/35)*AU185+(1-EXP(-LN(2)/35))/(LN(2)/35)*AQ186*AR186*VLOOKUP('Données projet'!$B$10,Paramètres!$A$1:$I$89,3,0)*0.475*44/12</f>
        <v>#N/A</v>
      </c>
      <c r="AV186" s="21" t="e">
        <f>EXP(-LN(2)/25)*AV185+(1-EXP(-LN(2)/25))/(LN(2)/25)*Calculateur!AQ186*Calculateur!AS186*VLOOKUP('Données projet'!$B$10,Paramètres!$A$1:$I$89,3,0)*0.475*44/12</f>
        <v>#N/A</v>
      </c>
      <c r="AW186" s="21" t="e">
        <f>EXP(-LN(2)/2)*AW185+(1-EXP(-LN(2)/2))/(LN(2)/2)*AQ186*AT186*VLOOKUP('Données projet'!$B$10,Paramètres!$A$1:$I$89,3,0)*0.475*44/12</f>
        <v>#N/A</v>
      </c>
      <c r="AX186" s="21" t="e">
        <f t="shared" si="166"/>
        <v>#N/A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1">
        <f t="shared" si="140"/>
        <v>27.072509349827552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7">
        <f t="shared" si="110"/>
        <v>515.45942045095035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4.5474735088646412E-13</v>
      </c>
      <c r="O187" s="13">
        <f>N187*VLOOKUP('Données projet'!$B$9,Paramètres!$A$1:$I$89,3,0)*VLOOKUP('Données projet'!$B$9,Paramètres!$A$1:$I$89,5,0)</f>
        <v>2.7193891583010558E-13</v>
      </c>
      <c r="P187" s="13">
        <f t="shared" si="141"/>
        <v>3.6362267729089988E-12</v>
      </c>
      <c r="Q187" s="20">
        <f t="shared" si="162"/>
        <v>6.8067219078872727E-12</v>
      </c>
      <c r="R187" s="59">
        <f t="shared" si="109"/>
        <v>293.33333333334014</v>
      </c>
      <c r="S187" s="59">
        <f ca="1">AVERAGE(OFFSET($R$3,0,0,'Données projet'!$E$9+1,1))-AVERAGE(OFFSET($H$3,0,0,'Données projet'!$E$9+1,1))</f>
        <v>252.28378247570731</v>
      </c>
      <c r="T187" s="59">
        <f t="shared" si="142"/>
        <v>263.50418595307343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1.3905700363495126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2.6708645925992683E-22</v>
      </c>
      <c r="AC187" s="22">
        <f t="shared" si="163"/>
        <v>1.3905700363495126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 t="e">
        <f>AI187*VLOOKUP('Données projet'!$B$10,Paramètres!$A$1:$I$89,3,0)*VLOOKUP('Données projet'!$B$10,Paramètres!$A$1:$I$89,5,0)</f>
        <v>#N/A</v>
      </c>
      <c r="AK187" s="13" t="e">
        <f t="shared" si="164"/>
        <v>#N/A</v>
      </c>
      <c r="AL187" s="20" t="e">
        <f t="shared" si="165"/>
        <v>#N/A</v>
      </c>
      <c r="AM187" s="59" t="e">
        <f t="shared" si="113"/>
        <v>#N/A</v>
      </c>
      <c r="AN187" s="59" t="e">
        <f ca="1">AVERAGE(OFFSET($AM$3,0,0,'Données projet'!$E$10+1,1))-AVERAGE(OFFSET($H$3,0,0,'Données projet'!$E$10+1,1))</f>
        <v>#N/A</v>
      </c>
      <c r="AO187" s="59" t="e">
        <f t="shared" si="144"/>
        <v>#N/A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 t="e">
        <f>EXP(-LN(2)/35)*AU186+(1-EXP(-LN(2)/35))/(LN(2)/35)*AQ187*AR187*VLOOKUP('Données projet'!$B$10,Paramètres!$A$1:$I$89,3,0)*0.475*44/12</f>
        <v>#N/A</v>
      </c>
      <c r="AV187" s="21" t="e">
        <f>EXP(-LN(2)/25)*AV186+(1-EXP(-LN(2)/25))/(LN(2)/25)*Calculateur!AQ187*Calculateur!AS187*VLOOKUP('Données projet'!$B$10,Paramètres!$A$1:$I$89,3,0)*0.475*44/12</f>
        <v>#N/A</v>
      </c>
      <c r="AW187" s="21" t="e">
        <f>EXP(-LN(2)/2)*AW186+(1-EXP(-LN(2)/2))/(LN(2)/2)*AQ187*AT187*VLOOKUP('Données projet'!$B$10,Paramètres!$A$1:$I$89,3,0)*0.475*44/12</f>
        <v>#N/A</v>
      </c>
      <c r="AX187" s="21" t="e">
        <f t="shared" si="166"/>
        <v>#N/A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1">
        <f t="shared" si="140"/>
        <v>27.202475209169677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7">
        <f t="shared" si="110"/>
        <v>516.63672765597119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4.5474735088646412E-13</v>
      </c>
      <c r="O188" s="13">
        <f>N188*VLOOKUP('Données projet'!$B$9,Paramètres!$A$1:$I$89,3,0)*VLOOKUP('Données projet'!$B$9,Paramètres!$A$1:$I$89,5,0)</f>
        <v>2.7193891583010558E-13</v>
      </c>
      <c r="P188" s="13">
        <f t="shared" si="141"/>
        <v>3.6362267729089988E-12</v>
      </c>
      <c r="Q188" s="20">
        <f t="shared" si="162"/>
        <v>6.8067219078872727E-12</v>
      </c>
      <c r="R188" s="59">
        <f t="shared" si="109"/>
        <v>293.33333333334014</v>
      </c>
      <c r="S188" s="59">
        <f ca="1">AVERAGE(OFFSET($R$3,0,0,'Données projet'!$E$9+1,1))-AVERAGE(OFFSET($H$3,0,0,'Données projet'!$E$9+1,1))</f>
        <v>252.28378247570731</v>
      </c>
      <c r="T188" s="59">
        <f t="shared" si="142"/>
        <v>263.50418595307343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1.3633018061006716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1.8885864650579882E-22</v>
      </c>
      <c r="AC188" s="22">
        <f t="shared" si="163"/>
        <v>1.3633018061006716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 t="e">
        <f>AI188*VLOOKUP('Données projet'!$B$10,Paramètres!$A$1:$I$89,3,0)*VLOOKUP('Données projet'!$B$10,Paramètres!$A$1:$I$89,5,0)</f>
        <v>#N/A</v>
      </c>
      <c r="AK188" s="13" t="e">
        <f t="shared" si="164"/>
        <v>#N/A</v>
      </c>
      <c r="AL188" s="20" t="e">
        <f t="shared" si="165"/>
        <v>#N/A</v>
      </c>
      <c r="AM188" s="59" t="e">
        <f t="shared" si="113"/>
        <v>#N/A</v>
      </c>
      <c r="AN188" s="59" t="e">
        <f ca="1">AVERAGE(OFFSET($AM$3,0,0,'Données projet'!$E$10+1,1))-AVERAGE(OFFSET($H$3,0,0,'Données projet'!$E$10+1,1))</f>
        <v>#N/A</v>
      </c>
      <c r="AO188" s="59" t="e">
        <f t="shared" si="144"/>
        <v>#N/A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 t="e">
        <f>EXP(-LN(2)/35)*AU187+(1-EXP(-LN(2)/35))/(LN(2)/35)*AQ188*AR188*VLOOKUP('Données projet'!$B$10,Paramètres!$A$1:$I$89,3,0)*0.475*44/12</f>
        <v>#N/A</v>
      </c>
      <c r="AV188" s="21" t="e">
        <f>EXP(-LN(2)/25)*AV187+(1-EXP(-LN(2)/25))/(LN(2)/25)*Calculateur!AQ188*Calculateur!AS188*VLOOKUP('Données projet'!$B$10,Paramètres!$A$1:$I$89,3,0)*0.475*44/12</f>
        <v>#N/A</v>
      </c>
      <c r="AW188" s="21" t="e">
        <f>EXP(-LN(2)/2)*AW187+(1-EXP(-LN(2)/2))/(LN(2)/2)*AQ188*AT188*VLOOKUP('Données projet'!$B$10,Paramètres!$A$1:$I$89,3,0)*0.475*44/12</f>
        <v>#N/A</v>
      </c>
      <c r="AX188" s="21" t="e">
        <f t="shared" si="166"/>
        <v>#N/A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1">
        <f t="shared" si="140"/>
        <v>27.332359320697009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7">
        <f t="shared" si="110"/>
        <v>517.81389248354799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4.5474735088646412E-13</v>
      </c>
      <c r="O189" s="13">
        <f>N189*VLOOKUP('Données projet'!$B$9,Paramètres!$A$1:$I$89,3,0)*VLOOKUP('Données projet'!$B$9,Paramètres!$A$1:$I$89,5,0)</f>
        <v>2.7193891583010558E-13</v>
      </c>
      <c r="P189" s="13">
        <f t="shared" si="141"/>
        <v>3.6362267729089988E-12</v>
      </c>
      <c r="Q189" s="20">
        <f t="shared" si="162"/>
        <v>6.8067219078872727E-12</v>
      </c>
      <c r="R189" s="59">
        <f t="shared" si="109"/>
        <v>293.33333333334014</v>
      </c>
      <c r="S189" s="59">
        <f ca="1">AVERAGE(OFFSET($R$3,0,0,'Données projet'!$E$9+1,1))-AVERAGE(OFFSET($H$3,0,0,'Données projet'!$E$9+1,1))</f>
        <v>252.28378247570731</v>
      </c>
      <c r="T189" s="59">
        <f t="shared" si="142"/>
        <v>263.50418595307343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1.3365682892150321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1.3354322962996341E-22</v>
      </c>
      <c r="AC189" s="22">
        <f t="shared" si="163"/>
        <v>1.3365682892150321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 t="e">
        <f>AI189*VLOOKUP('Données projet'!$B$10,Paramètres!$A$1:$I$89,3,0)*VLOOKUP('Données projet'!$B$10,Paramètres!$A$1:$I$89,5,0)</f>
        <v>#N/A</v>
      </c>
      <c r="AK189" s="13" t="e">
        <f t="shared" si="164"/>
        <v>#N/A</v>
      </c>
      <c r="AL189" s="20" t="e">
        <f t="shared" si="165"/>
        <v>#N/A</v>
      </c>
      <c r="AM189" s="59" t="e">
        <f t="shared" si="113"/>
        <v>#N/A</v>
      </c>
      <c r="AN189" s="59" t="e">
        <f ca="1">AVERAGE(OFFSET($AM$3,0,0,'Données projet'!$E$10+1,1))-AVERAGE(OFFSET($H$3,0,0,'Données projet'!$E$10+1,1))</f>
        <v>#N/A</v>
      </c>
      <c r="AO189" s="59" t="e">
        <f t="shared" si="144"/>
        <v>#N/A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 t="e">
        <f>EXP(-LN(2)/35)*AU188+(1-EXP(-LN(2)/35))/(LN(2)/35)*AQ189*AR189*VLOOKUP('Données projet'!$B$10,Paramètres!$A$1:$I$89,3,0)*0.475*44/12</f>
        <v>#N/A</v>
      </c>
      <c r="AV189" s="21" t="e">
        <f>EXP(-LN(2)/25)*AV188+(1-EXP(-LN(2)/25))/(LN(2)/25)*Calculateur!AQ189*Calculateur!AS189*VLOOKUP('Données projet'!$B$10,Paramètres!$A$1:$I$89,3,0)*0.475*44/12</f>
        <v>#N/A</v>
      </c>
      <c r="AW189" s="21" t="e">
        <f>EXP(-LN(2)/2)*AW188+(1-EXP(-LN(2)/2))/(LN(2)/2)*AQ189*AT189*VLOOKUP('Données projet'!$B$10,Paramètres!$A$1:$I$89,3,0)*0.475*44/12</f>
        <v>#N/A</v>
      </c>
      <c r="AX189" s="21" t="e">
        <f t="shared" si="166"/>
        <v>#N/A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1">
        <f t="shared" si="140"/>
        <v>27.462162174923463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7">
        <f t="shared" si="110"/>
        <v>518.99091578799244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4.5474735088646412E-13</v>
      </c>
      <c r="O190" s="13">
        <f>N190*VLOOKUP('Données projet'!$B$9,Paramètres!$A$1:$I$89,3,0)*VLOOKUP('Données projet'!$B$9,Paramètres!$A$1:$I$89,5,0)</f>
        <v>2.7193891583010558E-13</v>
      </c>
      <c r="P190" s="13">
        <f t="shared" si="141"/>
        <v>3.6362267729089988E-12</v>
      </c>
      <c r="Q190" s="20">
        <f t="shared" si="162"/>
        <v>6.8067219078872727E-12</v>
      </c>
      <c r="R190" s="59">
        <f t="shared" si="109"/>
        <v>293.33333333334014</v>
      </c>
      <c r="S190" s="59">
        <f ca="1">AVERAGE(OFFSET($R$3,0,0,'Données projet'!$E$9+1,1))-AVERAGE(OFFSET($H$3,0,0,'Données projet'!$E$9+1,1))</f>
        <v>252.28378247570731</v>
      </c>
      <c r="T190" s="59">
        <f t="shared" si="142"/>
        <v>263.50418595307343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1.3103590002896848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9.4429323252899412E-23</v>
      </c>
      <c r="AC190" s="22">
        <f t="shared" si="163"/>
        <v>1.3103590002896848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 t="e">
        <f>AI190*VLOOKUP('Données projet'!$B$10,Paramètres!$A$1:$I$89,3,0)*VLOOKUP('Données projet'!$B$10,Paramètres!$A$1:$I$89,5,0)</f>
        <v>#N/A</v>
      </c>
      <c r="AK190" s="13" t="e">
        <f t="shared" si="164"/>
        <v>#N/A</v>
      </c>
      <c r="AL190" s="20" t="e">
        <f t="shared" si="165"/>
        <v>#N/A</v>
      </c>
      <c r="AM190" s="59" t="e">
        <f t="shared" si="113"/>
        <v>#N/A</v>
      </c>
      <c r="AN190" s="59" t="e">
        <f ca="1">AVERAGE(OFFSET($AM$3,0,0,'Données projet'!$E$10+1,1))-AVERAGE(OFFSET($H$3,0,0,'Données projet'!$E$10+1,1))</f>
        <v>#N/A</v>
      </c>
      <c r="AO190" s="59" t="e">
        <f t="shared" si="144"/>
        <v>#N/A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 t="e">
        <f>EXP(-LN(2)/35)*AU189+(1-EXP(-LN(2)/35))/(LN(2)/35)*AQ190*AR190*VLOOKUP('Données projet'!$B$10,Paramètres!$A$1:$I$89,3,0)*0.475*44/12</f>
        <v>#N/A</v>
      </c>
      <c r="AV190" s="21" t="e">
        <f>EXP(-LN(2)/25)*AV189+(1-EXP(-LN(2)/25))/(LN(2)/25)*Calculateur!AQ190*Calculateur!AS190*VLOOKUP('Données projet'!$B$10,Paramètres!$A$1:$I$89,3,0)*0.475*44/12</f>
        <v>#N/A</v>
      </c>
      <c r="AW190" s="21" t="e">
        <f>EXP(-LN(2)/2)*AW189+(1-EXP(-LN(2)/2))/(LN(2)/2)*AQ190*AT190*VLOOKUP('Données projet'!$B$10,Paramètres!$A$1:$I$89,3,0)*0.475*44/12</f>
        <v>#N/A</v>
      </c>
      <c r="AX190" s="21" t="e">
        <f t="shared" si="166"/>
        <v>#N/A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1">
        <f t="shared" si="140"/>
        <v>27.591884256813145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7">
        <f t="shared" si="110"/>
        <v>520.16779841395021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4.5474735088646412E-13</v>
      </c>
      <c r="O191" s="13">
        <f>N191*VLOOKUP('Données projet'!$B$9,Paramètres!$A$1:$I$89,3,0)*VLOOKUP('Données projet'!$B$9,Paramètres!$A$1:$I$89,5,0)</f>
        <v>2.7193891583010558E-13</v>
      </c>
      <c r="P191" s="13">
        <f t="shared" si="141"/>
        <v>3.6362267729089988E-12</v>
      </c>
      <c r="Q191" s="20">
        <f t="shared" si="162"/>
        <v>6.8067219078872727E-12</v>
      </c>
      <c r="R191" s="59">
        <f t="shared" si="109"/>
        <v>293.33333333334014</v>
      </c>
      <c r="S191" s="59">
        <f ca="1">AVERAGE(OFFSET($R$3,0,0,'Données projet'!$E$9+1,1))-AVERAGE(OFFSET($H$3,0,0,'Données projet'!$E$9+1,1))</f>
        <v>252.28378247570731</v>
      </c>
      <c r="T191" s="59">
        <f t="shared" si="142"/>
        <v>263.50418595307343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1.2846636595340759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6.6771614814981707E-23</v>
      </c>
      <c r="AC191" s="22">
        <f t="shared" si="163"/>
        <v>1.2846636595340759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 t="e">
        <f>AI191*VLOOKUP('Données projet'!$B$10,Paramètres!$A$1:$I$89,3,0)*VLOOKUP('Données projet'!$B$10,Paramètres!$A$1:$I$89,5,0)</f>
        <v>#N/A</v>
      </c>
      <c r="AK191" s="13" t="e">
        <f t="shared" si="164"/>
        <v>#N/A</v>
      </c>
      <c r="AL191" s="20" t="e">
        <f t="shared" si="165"/>
        <v>#N/A</v>
      </c>
      <c r="AM191" s="59" t="e">
        <f t="shared" si="113"/>
        <v>#N/A</v>
      </c>
      <c r="AN191" s="59" t="e">
        <f ca="1">AVERAGE(OFFSET($AM$3,0,0,'Données projet'!$E$10+1,1))-AVERAGE(OFFSET($H$3,0,0,'Données projet'!$E$10+1,1))</f>
        <v>#N/A</v>
      </c>
      <c r="AO191" s="59" t="e">
        <f t="shared" si="144"/>
        <v>#N/A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 t="e">
        <f>EXP(-LN(2)/35)*AU190+(1-EXP(-LN(2)/35))/(LN(2)/35)*AQ191*AR191*VLOOKUP('Données projet'!$B$10,Paramètres!$A$1:$I$89,3,0)*0.475*44/12</f>
        <v>#N/A</v>
      </c>
      <c r="AV191" s="21" t="e">
        <f>EXP(-LN(2)/25)*AV190+(1-EXP(-LN(2)/25))/(LN(2)/25)*Calculateur!AQ191*Calculateur!AS191*VLOOKUP('Données projet'!$B$10,Paramètres!$A$1:$I$89,3,0)*0.475*44/12</f>
        <v>#N/A</v>
      </c>
      <c r="AW191" s="21" t="e">
        <f>EXP(-LN(2)/2)*AW190+(1-EXP(-LN(2)/2))/(LN(2)/2)*AQ191*AT191*VLOOKUP('Données projet'!$B$10,Paramètres!$A$1:$I$89,3,0)*0.475*44/12</f>
        <v>#N/A</v>
      </c>
      <c r="AX191" s="21" t="e">
        <f t="shared" si="166"/>
        <v>#N/A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1">
        <f t="shared" si="140"/>
        <v>27.721526045872363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7">
        <f t="shared" si="110"/>
        <v>521.34454119656175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4.5474735088646412E-13</v>
      </c>
      <c r="O192" s="13">
        <f>N192*VLOOKUP('Données projet'!$B$9,Paramètres!$A$1:$I$89,3,0)*VLOOKUP('Données projet'!$B$9,Paramètres!$A$1:$I$89,5,0)</f>
        <v>2.7193891583010558E-13</v>
      </c>
      <c r="P192" s="13">
        <f t="shared" si="141"/>
        <v>3.6362267729089988E-12</v>
      </c>
      <c r="Q192" s="20">
        <f t="shared" si="162"/>
        <v>6.8067219078872727E-12</v>
      </c>
      <c r="R192" s="59">
        <f t="shared" si="109"/>
        <v>293.33333333334014</v>
      </c>
      <c r="S192" s="59">
        <f ca="1">AVERAGE(OFFSET($R$3,0,0,'Données projet'!$E$9+1,1))-AVERAGE(OFFSET($H$3,0,0,'Données projet'!$E$9+1,1))</f>
        <v>252.28378247570731</v>
      </c>
      <c r="T192" s="59">
        <f t="shared" si="142"/>
        <v>263.50418595307343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1.2594721887380742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4.7214661626449706E-23</v>
      </c>
      <c r="AC192" s="22">
        <f t="shared" si="163"/>
        <v>1.2594721887380742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 t="e">
        <f>AI192*VLOOKUP('Données projet'!$B$10,Paramètres!$A$1:$I$89,3,0)*VLOOKUP('Données projet'!$B$10,Paramètres!$A$1:$I$89,5,0)</f>
        <v>#N/A</v>
      </c>
      <c r="AK192" s="13" t="e">
        <f t="shared" si="164"/>
        <v>#N/A</v>
      </c>
      <c r="AL192" s="20" t="e">
        <f t="shared" si="165"/>
        <v>#N/A</v>
      </c>
      <c r="AM192" s="59" t="e">
        <f t="shared" si="113"/>
        <v>#N/A</v>
      </c>
      <c r="AN192" s="59" t="e">
        <f ca="1">AVERAGE(OFFSET($AM$3,0,0,'Données projet'!$E$10+1,1))-AVERAGE(OFFSET($H$3,0,0,'Données projet'!$E$10+1,1))</f>
        <v>#N/A</v>
      </c>
      <c r="AO192" s="59" t="e">
        <f t="shared" si="144"/>
        <v>#N/A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 t="e">
        <f>EXP(-LN(2)/35)*AU191+(1-EXP(-LN(2)/35))/(LN(2)/35)*AQ192*AR192*VLOOKUP('Données projet'!$B$10,Paramètres!$A$1:$I$89,3,0)*0.475*44/12</f>
        <v>#N/A</v>
      </c>
      <c r="AV192" s="21" t="e">
        <f>EXP(-LN(2)/25)*AV191+(1-EXP(-LN(2)/25))/(LN(2)/25)*Calculateur!AQ192*Calculateur!AS192*VLOOKUP('Données projet'!$B$10,Paramètres!$A$1:$I$89,3,0)*0.475*44/12</f>
        <v>#N/A</v>
      </c>
      <c r="AW192" s="21" t="e">
        <f>EXP(-LN(2)/2)*AW191+(1-EXP(-LN(2)/2))/(LN(2)/2)*AQ192*AT192*VLOOKUP('Données projet'!$B$10,Paramètres!$A$1:$I$89,3,0)*0.475*44/12</f>
        <v>#N/A</v>
      </c>
      <c r="AX192" s="21" t="e">
        <f t="shared" si="166"/>
        <v>#N/A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1">
        <f t="shared" si="140"/>
        <v>27.851088016239451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7">
        <f t="shared" si="110"/>
        <v>522.52114496161767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4.5474735088646412E-13</v>
      </c>
      <c r="O193" s="13">
        <f>N193*VLOOKUP('Données projet'!$B$9,Paramètres!$A$1:$I$89,3,0)*VLOOKUP('Données projet'!$B$9,Paramètres!$A$1:$I$89,5,0)</f>
        <v>2.7193891583010558E-13</v>
      </c>
      <c r="P193" s="13">
        <f t="shared" si="141"/>
        <v>3.6362267729089988E-12</v>
      </c>
      <c r="Q193" s="20">
        <f t="shared" si="162"/>
        <v>6.8067219078872727E-12</v>
      </c>
      <c r="R193" s="59">
        <f t="shared" si="109"/>
        <v>293.33333333334014</v>
      </c>
      <c r="S193" s="59">
        <f ca="1">AVERAGE(OFFSET($R$3,0,0,'Données projet'!$E$9+1,1))-AVERAGE(OFFSET($H$3,0,0,'Données projet'!$E$9+1,1))</f>
        <v>252.28378247570731</v>
      </c>
      <c r="T193" s="59">
        <f t="shared" si="142"/>
        <v>263.50418595307343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1.234774707319102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3.3385807407490854E-23</v>
      </c>
      <c r="AC193" s="22">
        <f t="shared" si="163"/>
        <v>1.234774707319102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 t="e">
        <f>AI193*VLOOKUP('Données projet'!$B$10,Paramètres!$A$1:$I$89,3,0)*VLOOKUP('Données projet'!$B$10,Paramètres!$A$1:$I$89,5,0)</f>
        <v>#N/A</v>
      </c>
      <c r="AK193" s="13" t="e">
        <f t="shared" si="164"/>
        <v>#N/A</v>
      </c>
      <c r="AL193" s="20" t="e">
        <f t="shared" si="165"/>
        <v>#N/A</v>
      </c>
      <c r="AM193" s="59" t="e">
        <f t="shared" si="113"/>
        <v>#N/A</v>
      </c>
      <c r="AN193" s="59" t="e">
        <f ca="1">AVERAGE(OFFSET($AM$3,0,0,'Données projet'!$E$10+1,1))-AVERAGE(OFFSET($H$3,0,0,'Données projet'!$E$10+1,1))</f>
        <v>#N/A</v>
      </c>
      <c r="AO193" s="59" t="e">
        <f t="shared" si="144"/>
        <v>#N/A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 t="e">
        <f>EXP(-LN(2)/35)*AU192+(1-EXP(-LN(2)/35))/(LN(2)/35)*AQ193*AR193*VLOOKUP('Données projet'!$B$10,Paramètres!$A$1:$I$89,3,0)*0.475*44/12</f>
        <v>#N/A</v>
      </c>
      <c r="AV193" s="21" t="e">
        <f>EXP(-LN(2)/25)*AV192+(1-EXP(-LN(2)/25))/(LN(2)/25)*Calculateur!AQ193*Calculateur!AS193*VLOOKUP('Données projet'!$B$10,Paramètres!$A$1:$I$89,3,0)*0.475*44/12</f>
        <v>#N/A</v>
      </c>
      <c r="AW193" s="21" t="e">
        <f>EXP(-LN(2)/2)*AW192+(1-EXP(-LN(2)/2))/(LN(2)/2)*AQ193*AT193*VLOOKUP('Données projet'!$B$10,Paramètres!$A$1:$I$89,3,0)*0.475*44/12</f>
        <v>#N/A</v>
      </c>
      <c r="AX193" s="21" t="e">
        <f t="shared" si="166"/>
        <v>#N/A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1">
        <f t="shared" si="140"/>
        <v>27.98057063677302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7">
        <f t="shared" si="110"/>
        <v>523.69761052571369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4.5474735088646412E-13</v>
      </c>
      <c r="O194" s="13">
        <f>N194*VLOOKUP('Données projet'!$B$9,Paramètres!$A$1:$I$89,3,0)*VLOOKUP('Données projet'!$B$9,Paramètres!$A$1:$I$89,5,0)</f>
        <v>2.7193891583010558E-13</v>
      </c>
      <c r="P194" s="13">
        <f t="shared" si="141"/>
        <v>3.6362267729089988E-12</v>
      </c>
      <c r="Q194" s="20">
        <f t="shared" si="162"/>
        <v>6.8067219078872727E-12</v>
      </c>
      <c r="R194" s="59">
        <f t="shared" si="109"/>
        <v>293.33333333334014</v>
      </c>
      <c r="S194" s="59">
        <f ca="1">AVERAGE(OFFSET($R$3,0,0,'Données projet'!$E$9+1,1))-AVERAGE(OFFSET($H$3,0,0,'Données projet'!$E$9+1,1))</f>
        <v>252.28378247570731</v>
      </c>
      <c r="T194" s="59">
        <f t="shared" si="142"/>
        <v>263.50418595307343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1.2105615284467797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2.3607330813224853E-23</v>
      </c>
      <c r="AC194" s="22">
        <f t="shared" si="163"/>
        <v>1.2105615284467797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 t="e">
        <f>AI194*VLOOKUP('Données projet'!$B$10,Paramètres!$A$1:$I$89,3,0)*VLOOKUP('Données projet'!$B$10,Paramètres!$A$1:$I$89,5,0)</f>
        <v>#N/A</v>
      </c>
      <c r="AK194" s="13" t="e">
        <f t="shared" si="164"/>
        <v>#N/A</v>
      </c>
      <c r="AL194" s="20" t="e">
        <f t="shared" si="165"/>
        <v>#N/A</v>
      </c>
      <c r="AM194" s="59" t="e">
        <f t="shared" si="113"/>
        <v>#N/A</v>
      </c>
      <c r="AN194" s="59" t="e">
        <f ca="1">AVERAGE(OFFSET($AM$3,0,0,'Données projet'!$E$10+1,1))-AVERAGE(OFFSET($H$3,0,0,'Données projet'!$E$10+1,1))</f>
        <v>#N/A</v>
      </c>
      <c r="AO194" s="59" t="e">
        <f t="shared" si="144"/>
        <v>#N/A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 t="e">
        <f>EXP(-LN(2)/35)*AU193+(1-EXP(-LN(2)/35))/(LN(2)/35)*AQ194*AR194*VLOOKUP('Données projet'!$B$10,Paramètres!$A$1:$I$89,3,0)*0.475*44/12</f>
        <v>#N/A</v>
      </c>
      <c r="AV194" s="21" t="e">
        <f>EXP(-LN(2)/25)*AV193+(1-EXP(-LN(2)/25))/(LN(2)/25)*Calculateur!AQ194*Calculateur!AS194*VLOOKUP('Données projet'!$B$10,Paramètres!$A$1:$I$89,3,0)*0.475*44/12</f>
        <v>#N/A</v>
      </c>
      <c r="AW194" s="21" t="e">
        <f>EXP(-LN(2)/2)*AW193+(1-EXP(-LN(2)/2))/(LN(2)/2)*AQ194*AT194*VLOOKUP('Données projet'!$B$10,Paramètres!$A$1:$I$89,3,0)*0.475*44/12</f>
        <v>#N/A</v>
      </c>
      <c r="AX194" s="21" t="e">
        <f t="shared" si="166"/>
        <v>#N/A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1">
        <f t="shared" si="140"/>
        <v>28.10997437113782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7">
        <f t="shared" si="110"/>
        <v>524.87393869639902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4.5474735088646412E-13</v>
      </c>
      <c r="O195" s="13">
        <f>N195*VLOOKUP('Données projet'!$B$9,Paramètres!$A$1:$I$89,3,0)*VLOOKUP('Données projet'!$B$9,Paramètres!$A$1:$I$89,5,0)</f>
        <v>2.7193891583010558E-13</v>
      </c>
      <c r="P195" s="13">
        <f t="shared" si="141"/>
        <v>3.6362267729089988E-12</v>
      </c>
      <c r="Q195" s="20">
        <f t="shared" si="162"/>
        <v>6.8067219078872727E-12</v>
      </c>
      <c r="R195" s="59">
        <f t="shared" ref="R195:R203" si="191">Q195+(I195+J195)*44/12</f>
        <v>293.33333333334014</v>
      </c>
      <c r="S195" s="59">
        <f ca="1">AVERAGE(OFFSET($R$3,0,0,'Données projet'!$E$9+1,1))-AVERAGE(OFFSET($H$3,0,0,'Données projet'!$E$9+1,1))</f>
        <v>252.28378247570731</v>
      </c>
      <c r="T195" s="59">
        <f t="shared" si="142"/>
        <v>263.50418595307343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1.1868231552435626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1.6692903703745427E-23</v>
      </c>
      <c r="AC195" s="22">
        <f t="shared" si="163"/>
        <v>1.1868231552435626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 t="e">
        <f>AI195*VLOOKUP('Données projet'!$B$10,Paramètres!$A$1:$I$89,3,0)*VLOOKUP('Données projet'!$B$10,Paramètres!$A$1:$I$89,5,0)</f>
        <v>#N/A</v>
      </c>
      <c r="AK195" s="13" t="e">
        <f t="shared" si="164"/>
        <v>#N/A</v>
      </c>
      <c r="AL195" s="20" t="e">
        <f t="shared" si="165"/>
        <v>#N/A</v>
      </c>
      <c r="AM195" s="59" t="e">
        <f t="shared" si="113"/>
        <v>#N/A</v>
      </c>
      <c r="AN195" s="59" t="e">
        <f ca="1">AVERAGE(OFFSET($AM$3,0,0,'Données projet'!$E$10+1,1))-AVERAGE(OFFSET($H$3,0,0,'Données projet'!$E$10+1,1))</f>
        <v>#N/A</v>
      </c>
      <c r="AO195" s="59" t="e">
        <f t="shared" si="144"/>
        <v>#N/A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 t="e">
        <f>EXP(-LN(2)/35)*AU194+(1-EXP(-LN(2)/35))/(LN(2)/35)*AQ195*AR195*VLOOKUP('Données projet'!$B$10,Paramètres!$A$1:$I$89,3,0)*0.475*44/12</f>
        <v>#N/A</v>
      </c>
      <c r="AV195" s="21" t="e">
        <f>EXP(-LN(2)/25)*AV194+(1-EXP(-LN(2)/25))/(LN(2)/25)*Calculateur!AQ195*Calculateur!AS195*VLOOKUP('Données projet'!$B$10,Paramètres!$A$1:$I$89,3,0)*0.475*44/12</f>
        <v>#N/A</v>
      </c>
      <c r="AW195" s="21" t="e">
        <f>EXP(-LN(2)/2)*AW194+(1-EXP(-LN(2)/2))/(LN(2)/2)*AQ195*AT195*VLOOKUP('Données projet'!$B$10,Paramètres!$A$1:$I$89,3,0)*0.475*44/12</f>
        <v>#N/A</v>
      </c>
      <c r="AX195" s="21" t="e">
        <f t="shared" si="166"/>
        <v>#N/A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1">
        <f t="shared" si="140"/>
        <v>28.239299677889207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7">
        <f t="shared" ref="H196:H203" si="192">(B196+E196+F196)*44/12+(C196+D196)*0.475*44/12</f>
        <v>526.0501302723244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4.5474735088646412E-13</v>
      </c>
      <c r="O196" s="13">
        <f>N196*VLOOKUP('Données projet'!$B$9,Paramètres!$A$1:$I$89,3,0)*VLOOKUP('Données projet'!$B$9,Paramètres!$A$1:$I$89,5,0)</f>
        <v>2.7193891583010558E-13</v>
      </c>
      <c r="P196" s="13">
        <f t="shared" si="141"/>
        <v>3.6362267729089988E-12</v>
      </c>
      <c r="Q196" s="20">
        <f t="shared" si="162"/>
        <v>6.8067219078872727E-12</v>
      </c>
      <c r="R196" s="59">
        <f t="shared" si="191"/>
        <v>293.33333333334014</v>
      </c>
      <c r="S196" s="59">
        <f ca="1">AVERAGE(OFFSET($R$3,0,0,'Données projet'!$E$9+1,1))-AVERAGE(OFFSET($H$3,0,0,'Données projet'!$E$9+1,1))</f>
        <v>252.28378247570731</v>
      </c>
      <c r="T196" s="59">
        <f t="shared" si="142"/>
        <v>263.50418595307343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1.1635502770598829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1.1803665406612426E-23</v>
      </c>
      <c r="AC196" s="22">
        <f t="shared" si="163"/>
        <v>1.1635502770598829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 t="e">
        <f>AI196*VLOOKUP('Données projet'!$B$10,Paramètres!$A$1:$I$89,3,0)*VLOOKUP('Données projet'!$B$10,Paramètres!$A$1:$I$89,5,0)</f>
        <v>#N/A</v>
      </c>
      <c r="AK196" s="13" t="e">
        <f t="shared" si="164"/>
        <v>#N/A</v>
      </c>
      <c r="AL196" s="20" t="e">
        <f t="shared" si="165"/>
        <v>#N/A</v>
      </c>
      <c r="AM196" s="59" t="e">
        <f t="shared" ref="AM196:AM203" si="193">AL196+(AD196+AE196)*44/12</f>
        <v>#N/A</v>
      </c>
      <c r="AN196" s="59" t="e">
        <f ca="1">AVERAGE(OFFSET($AM$3,0,0,'Données projet'!$E$10+1,1))-AVERAGE(OFFSET($H$3,0,0,'Données projet'!$E$10+1,1))</f>
        <v>#N/A</v>
      </c>
      <c r="AO196" s="59" t="e">
        <f t="shared" si="144"/>
        <v>#N/A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 t="e">
        <f>EXP(-LN(2)/35)*AU195+(1-EXP(-LN(2)/35))/(LN(2)/35)*AQ196*AR196*VLOOKUP('Données projet'!$B$10,Paramètres!$A$1:$I$89,3,0)*0.475*44/12</f>
        <v>#N/A</v>
      </c>
      <c r="AV196" s="21" t="e">
        <f>EXP(-LN(2)/25)*AV195+(1-EXP(-LN(2)/25))/(LN(2)/25)*Calculateur!AQ196*Calculateur!AS196*VLOOKUP('Données projet'!$B$10,Paramètres!$A$1:$I$89,3,0)*0.475*44/12</f>
        <v>#N/A</v>
      </c>
      <c r="AW196" s="21" t="e">
        <f>EXP(-LN(2)/2)*AW195+(1-EXP(-LN(2)/2))/(LN(2)/2)*AQ196*AT196*VLOOKUP('Données projet'!$B$10,Paramètres!$A$1:$I$89,3,0)*0.475*44/12</f>
        <v>#N/A</v>
      </c>
      <c r="AX196" s="21" t="e">
        <f t="shared" si="166"/>
        <v>#N/A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1">
        <f t="shared" ref="D197:D203" si="202">IFERROR(EXP(-1.0587+0.8836*LN(C197)+0.284),0)</f>
        <v>28.368547010555559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7">
        <f t="shared" si="192"/>
        <v>527.22618604338504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4.5474735088646412E-13</v>
      </c>
      <c r="O197" s="13">
        <f>N197*VLOOKUP('Données projet'!$B$9,Paramètres!$A$1:$I$89,3,0)*VLOOKUP('Données projet'!$B$9,Paramètres!$A$1:$I$89,5,0)</f>
        <v>2.7193891583010558E-13</v>
      </c>
      <c r="P197" s="13">
        <f t="shared" ref="P197:P203" si="203">EXP(-1.0587+0.8836*LN(O197)+0.284)</f>
        <v>3.6362267729089988E-12</v>
      </c>
      <c r="Q197" s="20">
        <f t="shared" si="162"/>
        <v>6.8067219078872727E-12</v>
      </c>
      <c r="R197" s="59">
        <f t="shared" si="191"/>
        <v>293.33333333334014</v>
      </c>
      <c r="S197" s="59">
        <f ca="1">AVERAGE(OFFSET($R$3,0,0,'Données projet'!$E$9+1,1))-AVERAGE(OFFSET($H$3,0,0,'Données projet'!$E$9+1,1))</f>
        <v>252.28378247570731</v>
      </c>
      <c r="T197" s="59">
        <f t="shared" ref="T197:T203" si="204">$T$3</f>
        <v>263.50418595307343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1.1407337658223309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8.3464518518727134E-24</v>
      </c>
      <c r="AC197" s="22">
        <f t="shared" si="163"/>
        <v>1.1407337658223309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 t="e">
        <f>AI197*VLOOKUP('Données projet'!$B$10,Paramètres!$A$1:$I$89,3,0)*VLOOKUP('Données projet'!$B$10,Paramètres!$A$1:$I$89,5,0)</f>
        <v>#N/A</v>
      </c>
      <c r="AK197" s="13" t="e">
        <f t="shared" si="164"/>
        <v>#N/A</v>
      </c>
      <c r="AL197" s="20" t="e">
        <f t="shared" si="165"/>
        <v>#N/A</v>
      </c>
      <c r="AM197" s="59" t="e">
        <f t="shared" si="193"/>
        <v>#N/A</v>
      </c>
      <c r="AN197" s="59" t="e">
        <f ca="1">AVERAGE(OFFSET($AM$3,0,0,'Données projet'!$E$10+1,1))-AVERAGE(OFFSET($H$3,0,0,'Données projet'!$E$10+1,1))</f>
        <v>#N/A</v>
      </c>
      <c r="AO197" s="59" t="e">
        <f t="shared" ref="AO197:AO203" si="205">$AO$3</f>
        <v>#N/A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 t="e">
        <f>EXP(-LN(2)/35)*AU196+(1-EXP(-LN(2)/35))/(LN(2)/35)*AQ197*AR197*VLOOKUP('Données projet'!$B$10,Paramètres!$A$1:$I$89,3,0)*0.475*44/12</f>
        <v>#N/A</v>
      </c>
      <c r="AV197" s="21" t="e">
        <f>EXP(-LN(2)/25)*AV196+(1-EXP(-LN(2)/25))/(LN(2)/25)*Calculateur!AQ197*Calculateur!AS197*VLOOKUP('Données projet'!$B$10,Paramètres!$A$1:$I$89,3,0)*0.475*44/12</f>
        <v>#N/A</v>
      </c>
      <c r="AW197" s="21" t="e">
        <f>EXP(-LN(2)/2)*AW196+(1-EXP(-LN(2)/2))/(LN(2)/2)*AQ197*AT197*VLOOKUP('Données projet'!$B$10,Paramètres!$A$1:$I$89,3,0)*0.475*44/12</f>
        <v>#N/A</v>
      </c>
      <c r="AX197" s="21" t="e">
        <f t="shared" si="166"/>
        <v>#N/A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1">
        <f t="shared" si="202"/>
        <v>28.497716817719009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7">
        <f t="shared" si="192"/>
        <v>528.40210679086135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4.5474735088646412E-13</v>
      </c>
      <c r="O198" s="13">
        <f>N198*VLOOKUP('Données projet'!$B$9,Paramètres!$A$1:$I$89,3,0)*VLOOKUP('Données projet'!$B$9,Paramètres!$A$1:$I$89,5,0)</f>
        <v>2.7193891583010558E-13</v>
      </c>
      <c r="P198" s="13">
        <f t="shared" si="203"/>
        <v>3.6362267729089988E-12</v>
      </c>
      <c r="Q198" s="20">
        <f t="shared" si="162"/>
        <v>6.8067219078872727E-12</v>
      </c>
      <c r="R198" s="59">
        <f t="shared" si="191"/>
        <v>293.33333333334014</v>
      </c>
      <c r="S198" s="59">
        <f ca="1">AVERAGE(OFFSET($R$3,0,0,'Données projet'!$E$9+1,1))-AVERAGE(OFFSET($H$3,0,0,'Données projet'!$E$9+1,1))</f>
        <v>252.28378247570731</v>
      </c>
      <c r="T198" s="59">
        <f t="shared" si="204"/>
        <v>263.50418595307343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1.1183646724534497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5.9018327033062132E-24</v>
      </c>
      <c r="AC198" s="22">
        <f t="shared" si="163"/>
        <v>1.1183646724534497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 t="e">
        <f>AI198*VLOOKUP('Données projet'!$B$10,Paramètres!$A$1:$I$89,3,0)*VLOOKUP('Données projet'!$B$10,Paramètres!$A$1:$I$89,5,0)</f>
        <v>#N/A</v>
      </c>
      <c r="AK198" s="13" t="e">
        <f t="shared" si="164"/>
        <v>#N/A</v>
      </c>
      <c r="AL198" s="20" t="e">
        <f t="shared" si="165"/>
        <v>#N/A</v>
      </c>
      <c r="AM198" s="59" t="e">
        <f t="shared" si="193"/>
        <v>#N/A</v>
      </c>
      <c r="AN198" s="59" t="e">
        <f ca="1">AVERAGE(OFFSET($AM$3,0,0,'Données projet'!$E$10+1,1))-AVERAGE(OFFSET($H$3,0,0,'Données projet'!$E$10+1,1))</f>
        <v>#N/A</v>
      </c>
      <c r="AO198" s="59" t="e">
        <f t="shared" si="205"/>
        <v>#N/A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 t="e">
        <f>EXP(-LN(2)/35)*AU197+(1-EXP(-LN(2)/35))/(LN(2)/35)*AQ198*AR198*VLOOKUP('Données projet'!$B$10,Paramètres!$A$1:$I$89,3,0)*0.475*44/12</f>
        <v>#N/A</v>
      </c>
      <c r="AV198" s="21" t="e">
        <f>EXP(-LN(2)/25)*AV197+(1-EXP(-LN(2)/25))/(LN(2)/25)*Calculateur!AQ198*Calculateur!AS198*VLOOKUP('Données projet'!$B$10,Paramètres!$A$1:$I$89,3,0)*0.475*44/12</f>
        <v>#N/A</v>
      </c>
      <c r="AW198" s="21" t="e">
        <f>EXP(-LN(2)/2)*AW197+(1-EXP(-LN(2)/2))/(LN(2)/2)*AQ198*AT198*VLOOKUP('Données projet'!$B$10,Paramètres!$A$1:$I$89,3,0)*0.475*44/12</f>
        <v>#N/A</v>
      </c>
      <c r="AX198" s="21" t="e">
        <f t="shared" si="166"/>
        <v>#N/A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1">
        <f t="shared" si="202"/>
        <v>28.626809543094431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7">
        <f t="shared" si="192"/>
        <v>529.57789328755689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4.5474735088646412E-13</v>
      </c>
      <c r="O199" s="13">
        <f>N199*VLOOKUP('Données projet'!$B$9,Paramètres!$A$1:$I$89,3,0)*VLOOKUP('Données projet'!$B$9,Paramètres!$A$1:$I$89,5,0)</f>
        <v>2.7193891583010558E-13</v>
      </c>
      <c r="P199" s="13">
        <f t="shared" si="203"/>
        <v>3.6362267729089988E-12</v>
      </c>
      <c r="Q199" s="20">
        <f t="shared" si="162"/>
        <v>6.8067219078872727E-12</v>
      </c>
      <c r="R199" s="59">
        <f t="shared" si="191"/>
        <v>293.33333333334014</v>
      </c>
      <c r="S199" s="59">
        <f ca="1">AVERAGE(OFFSET($R$3,0,0,'Données projet'!$E$9+1,1))-AVERAGE(OFFSET($H$3,0,0,'Données projet'!$E$9+1,1))</f>
        <v>252.28378247570731</v>
      </c>
      <c r="T199" s="59">
        <f t="shared" si="204"/>
        <v>263.50418595307343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1.0964342233617326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4.1732259259363567E-24</v>
      </c>
      <c r="AC199" s="22">
        <f t="shared" si="163"/>
        <v>1.0964342233617326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 t="e">
        <f>AI199*VLOOKUP('Données projet'!$B$10,Paramètres!$A$1:$I$89,3,0)*VLOOKUP('Données projet'!$B$10,Paramètres!$A$1:$I$89,5,0)</f>
        <v>#N/A</v>
      </c>
      <c r="AK199" s="13" t="e">
        <f t="shared" si="164"/>
        <v>#N/A</v>
      </c>
      <c r="AL199" s="20" t="e">
        <f t="shared" si="165"/>
        <v>#N/A</v>
      </c>
      <c r="AM199" s="59" t="e">
        <f t="shared" si="193"/>
        <v>#N/A</v>
      </c>
      <c r="AN199" s="59" t="e">
        <f ca="1">AVERAGE(OFFSET($AM$3,0,0,'Données projet'!$E$10+1,1))-AVERAGE(OFFSET($H$3,0,0,'Données projet'!$E$10+1,1))</f>
        <v>#N/A</v>
      </c>
      <c r="AO199" s="59" t="e">
        <f t="shared" si="205"/>
        <v>#N/A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 t="e">
        <f>EXP(-LN(2)/35)*AU198+(1-EXP(-LN(2)/35))/(LN(2)/35)*AQ199*AR199*VLOOKUP('Données projet'!$B$10,Paramètres!$A$1:$I$89,3,0)*0.475*44/12</f>
        <v>#N/A</v>
      </c>
      <c r="AV199" s="21" t="e">
        <f>EXP(-LN(2)/25)*AV198+(1-EXP(-LN(2)/25))/(LN(2)/25)*Calculateur!AQ199*Calculateur!AS199*VLOOKUP('Données projet'!$B$10,Paramètres!$A$1:$I$89,3,0)*0.475*44/12</f>
        <v>#N/A</v>
      </c>
      <c r="AW199" s="21" t="e">
        <f>EXP(-LN(2)/2)*AW198+(1-EXP(-LN(2)/2))/(LN(2)/2)*AQ199*AT199*VLOOKUP('Données projet'!$B$10,Paramètres!$A$1:$I$89,3,0)*0.475*44/12</f>
        <v>#N/A</v>
      </c>
      <c r="AX199" s="21" t="e">
        <f t="shared" si="166"/>
        <v>#N/A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1">
        <f t="shared" si="202"/>
        <v>28.755825625606846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7">
        <f t="shared" si="192"/>
        <v>530.75354629793264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4.5474735088646412E-13</v>
      </c>
      <c r="O200" s="13">
        <f>N200*VLOOKUP('Données projet'!$B$9,Paramètres!$A$1:$I$89,3,0)*VLOOKUP('Données projet'!$B$9,Paramètres!$A$1:$I$89,5,0)</f>
        <v>2.7193891583010558E-13</v>
      </c>
      <c r="P200" s="13">
        <f t="shared" si="203"/>
        <v>3.6362267729089988E-12</v>
      </c>
      <c r="Q200" s="20">
        <f t="shared" si="162"/>
        <v>6.8067219078872727E-12</v>
      </c>
      <c r="R200" s="59">
        <f t="shared" si="191"/>
        <v>293.33333333334014</v>
      </c>
      <c r="S200" s="59">
        <f ca="1">AVERAGE(OFFSET($R$3,0,0,'Données projet'!$E$9+1,1))-AVERAGE(OFFSET($H$3,0,0,'Données projet'!$E$9+1,1))</f>
        <v>252.28378247570731</v>
      </c>
      <c r="T200" s="59">
        <f t="shared" si="204"/>
        <v>263.50418595307343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1.0749338170004508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2.9509163516531066E-24</v>
      </c>
      <c r="AC200" s="22">
        <f t="shared" si="163"/>
        <v>1.0749338170004508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 t="e">
        <f>AI200*VLOOKUP('Données projet'!$B$10,Paramètres!$A$1:$I$89,3,0)*VLOOKUP('Données projet'!$B$10,Paramètres!$A$1:$I$89,5,0)</f>
        <v>#N/A</v>
      </c>
      <c r="AK200" s="13" t="e">
        <f t="shared" si="164"/>
        <v>#N/A</v>
      </c>
      <c r="AL200" s="20" t="e">
        <f t="shared" si="165"/>
        <v>#N/A</v>
      </c>
      <c r="AM200" s="59" t="e">
        <f t="shared" si="193"/>
        <v>#N/A</v>
      </c>
      <c r="AN200" s="59" t="e">
        <f ca="1">AVERAGE(OFFSET($AM$3,0,0,'Données projet'!$E$10+1,1))-AVERAGE(OFFSET($H$3,0,0,'Données projet'!$E$10+1,1))</f>
        <v>#N/A</v>
      </c>
      <c r="AO200" s="59" t="e">
        <f t="shared" si="205"/>
        <v>#N/A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 t="e">
        <f>EXP(-LN(2)/35)*AU199+(1-EXP(-LN(2)/35))/(LN(2)/35)*AQ200*AR200*VLOOKUP('Données projet'!$B$10,Paramètres!$A$1:$I$89,3,0)*0.475*44/12</f>
        <v>#N/A</v>
      </c>
      <c r="AV200" s="21" t="e">
        <f>EXP(-LN(2)/25)*AV199+(1-EXP(-LN(2)/25))/(LN(2)/25)*Calculateur!AQ200*Calculateur!AS200*VLOOKUP('Données projet'!$B$10,Paramètres!$A$1:$I$89,3,0)*0.475*44/12</f>
        <v>#N/A</v>
      </c>
      <c r="AW200" s="21" t="e">
        <f>EXP(-LN(2)/2)*AW199+(1-EXP(-LN(2)/2))/(LN(2)/2)*AQ200*AT200*VLOOKUP('Données projet'!$B$10,Paramètres!$A$1:$I$89,3,0)*0.475*44/12</f>
        <v>#N/A</v>
      </c>
      <c r="AX200" s="21" t="e">
        <f t="shared" si="166"/>
        <v>#N/A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1">
        <f t="shared" si="202"/>
        <v>28.884765499467239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7">
        <f t="shared" si="192"/>
        <v>531.9290665782396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4.5474735088646412E-13</v>
      </c>
      <c r="O201" s="13">
        <f>N201*VLOOKUP('Données projet'!$B$9,Paramètres!$A$1:$I$89,3,0)*VLOOKUP('Données projet'!$B$9,Paramètres!$A$1:$I$89,5,0)</f>
        <v>2.7193891583010558E-13</v>
      </c>
      <c r="P201" s="13">
        <f t="shared" si="203"/>
        <v>3.6362267729089988E-12</v>
      </c>
      <c r="Q201" s="20">
        <f t="shared" si="162"/>
        <v>6.8067219078872727E-12</v>
      </c>
      <c r="R201" s="59">
        <f t="shared" si="191"/>
        <v>293.33333333334014</v>
      </c>
      <c r="S201" s="59">
        <f ca="1">AVERAGE(OFFSET($R$3,0,0,'Données projet'!$E$9+1,1))-AVERAGE(OFFSET($H$3,0,0,'Données projet'!$E$9+1,1))</f>
        <v>252.28378247570731</v>
      </c>
      <c r="T201" s="59">
        <f t="shared" si="204"/>
        <v>263.50418595307343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1.0538550204939607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2.0866129629681784E-24</v>
      </c>
      <c r="AC201" s="22">
        <f t="shared" si="163"/>
        <v>1.0538550204939607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 t="e">
        <f>AI201*VLOOKUP('Données projet'!$B$10,Paramètres!$A$1:$I$89,3,0)*VLOOKUP('Données projet'!$B$10,Paramètres!$A$1:$I$89,5,0)</f>
        <v>#N/A</v>
      </c>
      <c r="AK201" s="13" t="e">
        <f t="shared" si="164"/>
        <v>#N/A</v>
      </c>
      <c r="AL201" s="20" t="e">
        <f t="shared" si="165"/>
        <v>#N/A</v>
      </c>
      <c r="AM201" s="59" t="e">
        <f t="shared" si="193"/>
        <v>#N/A</v>
      </c>
      <c r="AN201" s="59" t="e">
        <f ca="1">AVERAGE(OFFSET($AM$3,0,0,'Données projet'!$E$10+1,1))-AVERAGE(OFFSET($H$3,0,0,'Données projet'!$E$10+1,1))</f>
        <v>#N/A</v>
      </c>
      <c r="AO201" s="59" t="e">
        <f t="shared" si="205"/>
        <v>#N/A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 t="e">
        <f>EXP(-LN(2)/35)*AU200+(1-EXP(-LN(2)/35))/(LN(2)/35)*AQ201*AR201*VLOOKUP('Données projet'!$B$10,Paramètres!$A$1:$I$89,3,0)*0.475*44/12</f>
        <v>#N/A</v>
      </c>
      <c r="AV201" s="21" t="e">
        <f>EXP(-LN(2)/25)*AV200+(1-EXP(-LN(2)/25))/(LN(2)/25)*Calculateur!AQ201*Calculateur!AS201*VLOOKUP('Données projet'!$B$10,Paramètres!$A$1:$I$89,3,0)*0.475*44/12</f>
        <v>#N/A</v>
      </c>
      <c r="AW201" s="21" t="e">
        <f>EXP(-LN(2)/2)*AW200+(1-EXP(-LN(2)/2))/(LN(2)/2)*AQ201*AT201*VLOOKUP('Données projet'!$B$10,Paramètres!$A$1:$I$89,3,0)*0.475*44/12</f>
        <v>#N/A</v>
      </c>
      <c r="AX201" s="21" t="e">
        <f t="shared" si="166"/>
        <v>#N/A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1">
        <f t="shared" si="202"/>
        <v>29.013629594246641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7">
        <f t="shared" si="192"/>
        <v>533.10445487664697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4.5474735088646412E-13</v>
      </c>
      <c r="O202" s="13">
        <f>N202*VLOOKUP('Données projet'!$B$9,Paramètres!$A$1:$I$89,3,0)*VLOOKUP('Données projet'!$B$9,Paramètres!$A$1:$I$89,5,0)</f>
        <v>2.7193891583010558E-13</v>
      </c>
      <c r="P202" s="13">
        <f t="shared" si="203"/>
        <v>3.6362267729089988E-12</v>
      </c>
      <c r="Q202" s="20">
        <f t="shared" si="162"/>
        <v>6.8067219078872727E-12</v>
      </c>
      <c r="R202" s="59">
        <f t="shared" si="191"/>
        <v>293.33333333334014</v>
      </c>
      <c r="S202" s="59">
        <f ca="1">AVERAGE(OFFSET($R$3,0,0,'Données projet'!$E$9+1,1))-AVERAGE(OFFSET($H$3,0,0,'Données projet'!$E$9+1,1))</f>
        <v>252.28378247570731</v>
      </c>
      <c r="T202" s="59">
        <f t="shared" si="204"/>
        <v>263.50418595307343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1.0331895663301667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1.4754581758265533E-24</v>
      </c>
      <c r="AC202" s="22">
        <f t="shared" si="163"/>
        <v>1.0331895663301667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 t="e">
        <f>AI202*VLOOKUP('Données projet'!$B$10,Paramètres!$A$1:$I$89,3,0)*VLOOKUP('Données projet'!$B$10,Paramètres!$A$1:$I$89,5,0)</f>
        <v>#N/A</v>
      </c>
      <c r="AK202" s="13" t="e">
        <f t="shared" si="164"/>
        <v>#N/A</v>
      </c>
      <c r="AL202" s="20" t="e">
        <f t="shared" si="165"/>
        <v>#N/A</v>
      </c>
      <c r="AM202" s="59" t="e">
        <f t="shared" si="193"/>
        <v>#N/A</v>
      </c>
      <c r="AN202" s="59" t="e">
        <f ca="1">AVERAGE(OFFSET($AM$3,0,0,'Données projet'!$E$10+1,1))-AVERAGE(OFFSET($H$3,0,0,'Données projet'!$E$10+1,1))</f>
        <v>#N/A</v>
      </c>
      <c r="AO202" s="59" t="e">
        <f t="shared" si="205"/>
        <v>#N/A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 t="e">
        <f>EXP(-LN(2)/35)*AU201+(1-EXP(-LN(2)/35))/(LN(2)/35)*AQ202*AR202*VLOOKUP('Données projet'!$B$10,Paramètres!$A$1:$I$89,3,0)*0.475*44/12</f>
        <v>#N/A</v>
      </c>
      <c r="AV202" s="21" t="e">
        <f>EXP(-LN(2)/25)*AV201+(1-EXP(-LN(2)/25))/(LN(2)/25)*Calculateur!AQ202*Calculateur!AS202*VLOOKUP('Données projet'!$B$10,Paramètres!$A$1:$I$89,3,0)*0.475*44/12</f>
        <v>#N/A</v>
      </c>
      <c r="AW202" s="21" t="e">
        <f>EXP(-LN(2)/2)*AW201+(1-EXP(-LN(2)/2))/(LN(2)/2)*AQ202*AT202*VLOOKUP('Données projet'!$B$10,Paramètres!$A$1:$I$89,3,0)*0.475*44/12</f>
        <v>#N/A</v>
      </c>
      <c r="AX202" s="21" t="e">
        <f t="shared" si="166"/>
        <v>#N/A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1">
        <f t="shared" si="202"/>
        <v>29.142418334948719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7">
        <f t="shared" si="192"/>
        <v>534.27971193336975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4.5474735088646412E-13</v>
      </c>
      <c r="O203" s="13">
        <f>N203*VLOOKUP('Données projet'!$B$9,Paramètres!$A$1:$I$89,3,0)*VLOOKUP('Données projet'!$B$9,Paramètres!$A$1:$I$89,5,0)</f>
        <v>2.7193891583010558E-13</v>
      </c>
      <c r="P203" s="13">
        <f t="shared" si="203"/>
        <v>3.6362267729089988E-12</v>
      </c>
      <c r="Q203" s="20">
        <f t="shared" si="162"/>
        <v>6.8067219078872727E-12</v>
      </c>
      <c r="R203" s="59">
        <f t="shared" si="191"/>
        <v>293.33333333334014</v>
      </c>
      <c r="S203" s="59">
        <f ca="1">AVERAGE(OFFSET($R$3,0,0,'Données projet'!$E$9+1,1))-AVERAGE(OFFSET($H$3,0,0,'Données projet'!$E$9+1,1))</f>
        <v>252.28378247570731</v>
      </c>
      <c r="T203" s="59">
        <f t="shared" si="204"/>
        <v>263.50418595307343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1.0129293491178422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1.0433064814840892E-24</v>
      </c>
      <c r="AC203" s="22">
        <f t="shared" si="163"/>
        <v>1.0129293491178422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 t="e">
        <f>AI203*VLOOKUP('Données projet'!$B$10,Paramètres!$A$1:$I$89,3,0)*VLOOKUP('Données projet'!$B$10,Paramètres!$A$1:$I$89,5,0)</f>
        <v>#N/A</v>
      </c>
      <c r="AK203" s="13" t="e">
        <f t="shared" si="164"/>
        <v>#N/A</v>
      </c>
      <c r="AL203" s="20" t="e">
        <f t="shared" si="165"/>
        <v>#N/A</v>
      </c>
      <c r="AM203" s="59" t="e">
        <f t="shared" si="193"/>
        <v>#N/A</v>
      </c>
      <c r="AN203" s="59" t="e">
        <f ca="1">AVERAGE(OFFSET($AM$3,0,0,'Données projet'!$E$10+1,1))-AVERAGE(OFFSET($H$3,0,0,'Données projet'!$E$10+1,1))</f>
        <v>#N/A</v>
      </c>
      <c r="AO203" s="59" t="e">
        <f t="shared" si="205"/>
        <v>#N/A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 t="e">
        <f>EXP(-LN(2)/35)*AU202+(1-EXP(-LN(2)/35))/(LN(2)/35)*AQ203*AR203*VLOOKUP('Données projet'!$B$10,Paramètres!$A$1:$I$89,3,0)*0.475*44/12</f>
        <v>#N/A</v>
      </c>
      <c r="AV203" s="21" t="e">
        <f>EXP(-LN(2)/25)*AV202+(1-EXP(-LN(2)/25))/(LN(2)/25)*Calculateur!AQ203*Calculateur!AS203*VLOOKUP('Données projet'!$B$10,Paramètres!$A$1:$I$89,3,0)*0.475*44/12</f>
        <v>#N/A</v>
      </c>
      <c r="AW203" s="21" t="e">
        <f>EXP(-LN(2)/2)*AW202+(1-EXP(-LN(2)/2))/(LN(2)/2)*AQ203*AT203*VLOOKUP('Données projet'!$B$10,Paramètres!$A$1:$I$89,3,0)*0.475*44/12</f>
        <v>#N/A</v>
      </c>
      <c r="AX203" s="21" t="e">
        <f t="shared" si="166"/>
        <v>#N/A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1.3763223570336161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 t="e">
        <f>EXP(LN('Données projet'!B62)/'Données projet'!A62)</f>
        <v>#NUM!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.7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.7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.7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.7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.7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.7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>
    <pageSetUpPr fitToPage="1"/>
  </sheetPr>
  <dimension ref="A1:BJ357"/>
  <sheetViews>
    <sheetView topLeftCell="B1" zoomScale="90" zoomScaleNormal="90" workbookViewId="0">
      <selection activeCell="B1" sqref="A1:L3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Pin maritime</v>
      </c>
      <c r="B6" s="146">
        <f>'Données projet'!D9</f>
        <v>12.798500000000001</v>
      </c>
      <c r="C6" s="147">
        <f ca="1">IF(OR('Données projet'!B9="",'Données projet'!C9="",'Données projet'!C9=0%),0,Calculateur!S3)</f>
        <v>252.28378247570731</v>
      </c>
      <c r="D6" s="147">
        <f>IF(OR('Données projet'!B9="",'Données projet'!C9="",'Données projet'!C9=0%),0,Calculateur!T3)</f>
        <v>263.50418595307343</v>
      </c>
      <c r="E6" s="147">
        <f ca="1">MIN(C6,D6)</f>
        <v>252.28378247570731</v>
      </c>
      <c r="F6" s="147">
        <f ca="1">E6*B6</f>
        <v>3228.8539900153401</v>
      </c>
      <c r="G6" s="147">
        <f ca="1">F6*(100%-'Données projet'!$C$24)*(100%-'Données projet'!$C$25)*(100%-'Données projet'!$C$26)*(100%-'Données projet'!$C$27)</f>
        <v>1976.0586418893881</v>
      </c>
      <c r="H6" s="148">
        <f>IF(OR('Données projet'!B9="",'Données projet'!C9="",'Données projet'!C9=0%),0,AVERAGE(Calculateur!$AC$3:$AC$33)*B6)</f>
        <v>91.025774750571003</v>
      </c>
      <c r="I6" s="149">
        <f>H6*(100%-'Données projet'!$C$24)*(100%-'Données projet'!$C$25)*(100%-'Données projet'!$C$26)*(100%-'Données projet'!$C$27)</f>
        <v>55.707774147349454</v>
      </c>
      <c r="J6" s="150">
        <f>IF(OR('Données projet'!B9="",'Données projet'!C9="",'Données projet'!C9=0%),0,SUM(Calculateur!$V$3:$V$33)*VLOOKUP('Données projet'!$B$9,Paramètres!$A$1:$I$89,9,0)*B6)</f>
        <v>1079.8094449999999</v>
      </c>
      <c r="K6" s="151">
        <f>J6*(100%-'Données projet'!$C$24)*(100%-'Données projet'!$C$25)*(100%-'Données projet'!$C$26)*(100%-'Données projet'!$C$27)</f>
        <v>660.84338033999995</v>
      </c>
      <c r="L6" s="152">
        <f ca="1">G6+I6+K6</f>
        <v>2692.6097963767374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/>
      </c>
      <c r="B7" s="154">
        <f>'Données projet'!D10</f>
        <v>0</v>
      </c>
      <c r="C7" s="147">
        <f>IF(OR('Données projet'!B10="",'Données projet'!C10="",'Données projet'!C10=0%),0,Calculateur!AN3)</f>
        <v>0</v>
      </c>
      <c r="D7" s="147">
        <f>IF(OR('Données projet'!B10="",'Données projet'!C10="",'Données projet'!C10=0%),0,Calculateur!AO3)</f>
        <v>0</v>
      </c>
      <c r="E7" s="147">
        <f t="shared" ref="E7:E15" si="0">MIN(C7,D7)</f>
        <v>0</v>
      </c>
      <c r="F7" s="147">
        <f t="shared" ref="F7:F15" si="1">E7*B7</f>
        <v>0</v>
      </c>
      <c r="G7" s="147">
        <f>F7*(100%-'Données projet'!$C$24)*(100%-'Données projet'!$C$25)*(100%-'Données projet'!$C$26)*(100%-'Données projet'!$C$27)</f>
        <v>0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si="2">G7+I7+K7</f>
        <v>0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9"/>
      <c r="B16" s="213"/>
      <c r="C16" s="214"/>
      <c r="D16" s="23"/>
      <c r="E16" s="23"/>
      <c r="F16" s="165">
        <f t="shared" ref="F16:L16" ca="1" si="3">SUM(F6:F15)</f>
        <v>3228.8539900153401</v>
      </c>
      <c r="G16" s="166">
        <f t="shared" ca="1" si="3"/>
        <v>1976.0586418893881</v>
      </c>
      <c r="H16" s="167">
        <f t="shared" si="3"/>
        <v>91.025774750571003</v>
      </c>
      <c r="I16" s="167">
        <f t="shared" si="3"/>
        <v>55.707774147349454</v>
      </c>
      <c r="J16" s="168">
        <f t="shared" si="3"/>
        <v>1079.8094449999999</v>
      </c>
      <c r="K16" s="168">
        <f t="shared" si="3"/>
        <v>660.84338033999995</v>
      </c>
      <c r="L16" s="169">
        <f t="shared" ca="1" si="3"/>
        <v>2692.6097963767374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/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scale="56" fitToHeight="0" orientation="portrait" r:id="rId1"/>
  <rowBreaks count="1" manualBreakCount="1">
    <brk id="75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80" zoomScaleNormal="80" workbookViewId="0">
      <selection activeCell="G26" sqref="G26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5703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62" t="s">
        <v>315</v>
      </c>
      <c r="I4" s="262"/>
      <c r="K4" s="286" t="s">
        <v>253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8">
        <f>'Données projet'!D9</f>
        <v>12.798500000000001</v>
      </c>
      <c r="V10" s="177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/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8">
        <f>'Données projet'!D10</f>
        <v>0</v>
      </c>
      <c r="V11" s="177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Pin maritime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30"/>
      <c r="G15" s="289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89"/>
      <c r="H16" s="190"/>
      <c r="I16" s="191"/>
      <c r="J16" s="202"/>
      <c r="K16" s="208"/>
      <c r="L16" s="286" t="s">
        <v>254</v>
      </c>
      <c r="M16" s="287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289"/>
      <c r="J17" s="202"/>
      <c r="K17" s="208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89"/>
      <c r="J18" s="202"/>
      <c r="K18" s="208"/>
      <c r="L18" s="259" t="s">
        <v>255</v>
      </c>
      <c r="M18" s="261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89"/>
      <c r="H19" s="212" t="s">
        <v>178</v>
      </c>
      <c r="I19" s="212" t="s">
        <v>287</v>
      </c>
      <c r="J19" s="93"/>
      <c r="K19" s="173"/>
      <c r="L19" s="286" t="s">
        <v>288</v>
      </c>
      <c r="M19" s="287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89"/>
      <c r="H20" s="190"/>
      <c r="I20" s="191"/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12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/>
      <c r="I23" s="191"/>
      <c r="K23" s="208"/>
      <c r="L23" s="288" t="s">
        <v>260</v>
      </c>
      <c r="M23" s="288"/>
      <c r="N23" s="288"/>
      <c r="O23" s="23"/>
      <c r="P23" s="23"/>
      <c r="Q23" s="234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16</v>
      </c>
      <c r="B24" s="181">
        <f>'Données projet'!D37</f>
        <v>25</v>
      </c>
      <c r="C24" s="193"/>
      <c r="D24" s="182">
        <f t="shared" ref="D24:D42" si="2">B24*C24</f>
        <v>0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20</v>
      </c>
      <c r="B25" s="181">
        <f>'Données projet'!D38</f>
        <v>33.700000000000003</v>
      </c>
      <c r="C25" s="193"/>
      <c r="D25" s="182">
        <f t="shared" si="2"/>
        <v>0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03">
        <f ca="1">T23-T24</f>
        <v>0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24</v>
      </c>
      <c r="B26" s="181">
        <f>'Données projet'!D39</f>
        <v>42.9</v>
      </c>
      <c r="C26" s="193"/>
      <c r="D26" s="182">
        <f t="shared" si="2"/>
        <v>0</v>
      </c>
      <c r="E26" s="193"/>
      <c r="F26" s="233"/>
      <c r="G26" s="229"/>
      <c r="H26" s="190"/>
      <c r="I26" s="191"/>
      <c r="K26" s="208"/>
      <c r="L26" s="290" t="s">
        <v>258</v>
      </c>
      <c r="M26" s="291"/>
      <c r="N26" s="291"/>
      <c r="O26" s="291"/>
      <c r="P26" s="292"/>
      <c r="Q26" s="234"/>
      <c r="R26" s="23"/>
      <c r="S26" s="186" t="s">
        <v>265</v>
      </c>
      <c r="T26" s="300" t="str">
        <f ca="1">IF(T25&lt;0,"Votre projet est additionnel","Votre projet n'est pas additionnel")</f>
        <v>Votre projet n'est pas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28</v>
      </c>
      <c r="B27" s="181">
        <f>'Données projet'!D40</f>
        <v>41.4</v>
      </c>
      <c r="C27" s="193"/>
      <c r="D27" s="182">
        <f t="shared" si="2"/>
        <v>0</v>
      </c>
      <c r="E27" s="193"/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34</v>
      </c>
      <c r="B28" s="181">
        <f>'Données projet'!D41</f>
        <v>59.9</v>
      </c>
      <c r="C28" s="193"/>
      <c r="D28" s="182">
        <f t="shared" si="2"/>
        <v>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40</v>
      </c>
      <c r="B29" s="181">
        <f>'Données projet'!D42</f>
        <v>34.1</v>
      </c>
      <c r="C29" s="193"/>
      <c r="D29" s="182">
        <f t="shared" si="2"/>
        <v>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46</v>
      </c>
      <c r="B30" s="181">
        <f>'Données projet'!D43</f>
        <v>21.3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54</v>
      </c>
      <c r="B31" s="181">
        <f>'Données projet'!D44</f>
        <v>17.399999999999999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62</v>
      </c>
      <c r="B32" s="181">
        <f>'Données projet'!D45</f>
        <v>410.00000000000006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/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0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0</v>
      </c>
      <c r="B55" s="181">
        <f>'Données projet'!D63</f>
        <v>0</v>
      </c>
      <c r="C55" s="191"/>
      <c r="D55" s="179">
        <f t="shared" ref="D55:D73" si="4">B55*C55</f>
        <v>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0</v>
      </c>
      <c r="B56" s="181">
        <f>'Données projet'!D64</f>
        <v>0</v>
      </c>
      <c r="C56" s="191"/>
      <c r="D56" s="179">
        <f t="shared" si="4"/>
        <v>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0</v>
      </c>
      <c r="B57" s="181">
        <f>'Données projet'!D65</f>
        <v>0</v>
      </c>
      <c r="C57" s="191"/>
      <c r="D57" s="179">
        <f t="shared" si="4"/>
        <v>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0</v>
      </c>
      <c r="B58" s="181">
        <f>'Données projet'!D66</f>
        <v>0</v>
      </c>
      <c r="C58" s="191"/>
      <c r="D58" s="179">
        <f t="shared" si="4"/>
        <v>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0</v>
      </c>
      <c r="B59" s="181">
        <f>'Données projet'!D67</f>
        <v>0</v>
      </c>
      <c r="C59" s="191"/>
      <c r="D59" s="179">
        <f t="shared" si="4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0</v>
      </c>
      <c r="B60" s="181">
        <f>'Données projet'!D68</f>
        <v>0</v>
      </c>
      <c r="C60" s="191"/>
      <c r="D60" s="179">
        <f t="shared" si="4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str">
        <f>IF(O95+1&lt;=MIN('Données projet'!$E$9:$E$18),O95+1,"STOP")</f>
        <v>STOP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Camille DESTRUHAUT</cp:lastModifiedBy>
  <cp:lastPrinted>2023-11-16T10:43:37Z</cp:lastPrinted>
  <dcterms:created xsi:type="dcterms:W3CDTF">2021-02-01T08:22:39Z</dcterms:created>
  <dcterms:modified xsi:type="dcterms:W3CDTF">2023-11-16T10:45:20Z</dcterms:modified>
</cp:coreProperties>
</file>