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Joigny\"/>
    </mc:Choice>
  </mc:AlternateContent>
  <xr:revisionPtr revIDLastSave="0" documentId="13_ncr:1_{1A3CA99B-22F2-483C-93B9-039923F47D00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<sst xmlns="http://schemas.openxmlformats.org/spreadsheetml/2006/main" count="1172" uniqueCount="324">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</sst>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1.8154835401121989</c:v>
                </c:pt>
                <c:pt idx="2">
                  <c:v>2.2676794886566864</c:v>
                </c:pt>
                <c:pt idx="3">
                  <c:v>2.8329519370540375</c:v>
                </c:pt>
                <c:pt idx="4">
                  <c:v>3.5396819946201337</c:v>
                </c:pt>
                <c:pt idx="5">
                  <c:v>4.423398898575468</c:v>
                </c:pt>
                <c:pt idx="6">
                  <c:v>5.5285861606171816</c:v>
                </c:pt>
                <c:pt idx="7">
                  <c:v>6.9109454363870801</c:v>
                </c:pt>
                <c:pt idx="8">
                  <c:v>8.640234432352095</c:v>
                </c:pt>
                <c:pt idx="9">
                  <c:v>10.803824795358084</c:v>
                </c:pt>
                <c:pt idx="10">
                  <c:v>13.511163126205266</c:v>
                </c:pt>
                <c:pt idx="11">
                  <c:v>16.899364955542922</c:v>
                </c:pt>
                <c:pt idx="12">
                  <c:v>21.140230149801212</c:v>
                </c:pt>
                <c:pt idx="13">
                  <c:v>26.449041831828016</c:v>
                </c:pt>
                <c:pt idx="14">
                  <c:v>33.09560334399378</c:v>
                </c:pt>
                <c:pt idx="15">
                  <c:v>41.418083874217693</c:v>
                </c:pt>
                <c:pt idx="16">
                  <c:v>57.184217043772861</c:v>
                </c:pt>
                <c:pt idx="17">
                  <c:v>72.835541640396144</c:v>
                </c:pt>
                <c:pt idx="18">
                  <c:v>88.400460965136418</c:v>
                </c:pt>
                <c:pt idx="19">
                  <c:v>103.89641721710223</c:v>
                </c:pt>
                <c:pt idx="20">
                  <c:v>119.33517902711669</c:v>
                </c:pt>
                <c:pt idx="21">
                  <c:v>115.05183808512884</c:v>
                </c:pt>
                <c:pt idx="22">
                  <c:v>135.21305233822034</c:v>
                </c:pt>
                <c:pt idx="23">
                  <c:v>155.30175558978996</c:v>
                </c:pt>
                <c:pt idx="24">
                  <c:v>175.32866141582917</c:v>
                </c:pt>
                <c:pt idx="25">
                  <c:v>195.30182759174372</c:v>
                </c:pt>
                <c:pt idx="26">
                  <c:v>215.22752536323196</c:v>
                </c:pt>
                <c:pt idx="27">
                  <c:v>235.11076813955651</c:v>
                </c:pt>
                <c:pt idx="28">
                  <c:v>254.95565122562834</c:v>
                </c:pt>
                <c:pt idx="29">
                  <c:v>274.76557990694795</c:v>
                </c:pt>
                <c:pt idx="30">
                  <c:v>294.54342815595749</c:v>
                </c:pt>
                <c:pt idx="31">
                  <c:v>214.38308691352654</c:v>
                </c:pt>
                <c:pt idx="32">
                  <c:v>235.23115194598691</c:v>
                </c:pt>
                <c:pt idx="33">
                  <c:v>256.03706594115931</c:v>
                </c:pt>
                <c:pt idx="34">
                  <c:v>276.8047351898287</c:v>
                </c:pt>
                <c:pt idx="35">
                  <c:v>297.53743172399726</c:v>
                </c:pt>
                <c:pt idx="36">
                  <c:v>318.2379342675012</c:v>
                </c:pt>
                <c:pt idx="37">
                  <c:v>338.90863053944435</c:v>
                </c:pt>
                <c:pt idx="38">
                  <c:v>359.55159326635481</c:v>
                </c:pt>
                <c:pt idx="39">
                  <c:v>380.16863781191483</c:v>
                </c:pt>
                <c:pt idx="40">
                  <c:v>400.76136664564439</c:v>
                </c:pt>
                <c:pt idx="41">
                  <c:v>319.07488453338192</c:v>
                </c:pt>
                <c:pt idx="42">
                  <c:v>337.59515490696054</c:v>
                </c:pt>
                <c:pt idx="43">
                  <c:v>356.09306684900554</c:v>
                </c:pt>
                <c:pt idx="44">
                  <c:v>374.56994479574246</c:v>
                </c:pt>
                <c:pt idx="45">
                  <c:v>393.02697189108068</c:v>
                </c:pt>
                <c:pt idx="46">
                  <c:v>411.46521112446504</c:v>
                </c:pt>
                <c:pt idx="47">
                  <c:v>429.88562248171951</c:v>
                </c:pt>
                <c:pt idx="48">
                  <c:v>448.28907700291933</c:v>
                </c:pt>
                <c:pt idx="49">
                  <c:v>466.67636841166092</c:v>
                </c:pt>
                <c:pt idx="50">
                  <c:v>485.04822281633716</c:v>
                </c:pt>
                <c:pt idx="51">
                  <c:v>400.99929643662978</c:v>
                </c:pt>
                <c:pt idx="52">
                  <c:v>416.6960037793271</c:v>
                </c:pt>
                <c:pt idx="53">
                  <c:v>432.37996845331372</c:v>
                </c:pt>
                <c:pt idx="54">
                  <c:v>448.05171763684865</c:v>
                </c:pt>
                <c:pt idx="55">
                  <c:v>463.71173863172265</c:v>
                </c:pt>
                <c:pt idx="56">
                  <c:v>479.36048315231164</c:v>
                </c:pt>
                <c:pt idx="57">
                  <c:v>494.99837102550174</c:v>
                </c:pt>
                <c:pt idx="58">
                  <c:v>510.62579339883246</c:v>
                </c:pt>
                <c:pt idx="59">
                  <c:v>526.24311553557425</c:v>
                </c:pt>
                <c:pt idx="60">
                  <c:v>541.85067926084878</c:v>
                </c:pt>
                <c:pt idx="61">
                  <c:v>472.72297142073893</c:v>
                </c:pt>
                <c:pt idx="62">
                  <c:v>485.28518110618751</c:v>
                </c:pt>
                <c:pt idx="63">
                  <c:v>497.84048794120577</c:v>
                </c:pt>
                <c:pt idx="64">
                  <c:v>510.38909052121204</c:v>
                </c:pt>
                <c:pt idx="65">
                  <c:v>522.93117688121526</c:v>
                </c:pt>
                <c:pt idx="66">
                  <c:v>535.46692530251255</c:v>
                </c:pt>
                <c:pt idx="67">
                  <c:v>547.99650503993382</c:v>
                </c:pt>
                <c:pt idx="68">
                  <c:v>560.52007697912893</c:v>
                </c:pt>
                <c:pt idx="69">
                  <c:v>573.03779423207209</c:v>
                </c:pt>
                <c:pt idx="70">
                  <c:v>585.54980267784322</c:v>
                </c:pt>
                <c:pt idx="71">
                  <c:v>531.56495568602577</c:v>
                </c:pt>
                <c:pt idx="72">
                  <c:v>541.37786301655706</c:v>
                </c:pt>
                <c:pt idx="73">
                  <c:v>551.18703551764054</c:v>
                </c:pt>
                <c:pt idx="74">
                  <c:v>560.99254902736823</c:v>
                </c:pt>
                <c:pt idx="75">
                  <c:v>570.79447651651674</c:v>
                </c:pt>
                <c:pt idx="76">
                  <c:v>580.59288824538407</c:v>
                </c:pt>
                <c:pt idx="77">
                  <c:v>590.38785190949113</c:v>
                </c:pt>
                <c:pt idx="78">
                  <c:v>600.17943277511279</c:v>
                </c:pt>
                <c:pt idx="79">
                  <c:v>609.96769380550427</c:v>
                </c:pt>
                <c:pt idx="80">
                  <c:v>619.75269577860956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162.01318445359652</c:v>
                </c:pt>
                <c:pt idx="22">
                  <c:v>181.34368368345909</c:v>
                </c:pt>
                <c:pt idx="23">
                  <c:v>200.62594388226071</c:v>
                </c:pt>
                <c:pt idx="24">
                  <c:v>219.86525499788613</c:v>
                </c:pt>
                <c:pt idx="25">
                  <c:v>239.06590436046736</c:v>
                </c:pt>
                <c:pt idx="26">
                  <c:v>258.2314337725993</c:v>
                </c:pt>
                <c:pt idx="27">
                  <c:v>277.36481607055674</c:v>
                </c:pt>
                <c:pt idx="28">
                  <c:v>296.46858031425882</c:v>
                </c:pt>
                <c:pt idx="29">
                  <c:v>315.54490296905198</c:v>
                </c:pt>
                <c:pt idx="30">
                  <c:v>334.59567585759874</c:v>
                </c:pt>
                <c:pt idx="31">
                  <c:v>234.7395292137937</c:v>
                </c:pt>
                <c:pt idx="32">
                  <c:v>251.0952400785371</c:v>
                </c:pt>
                <c:pt idx="33">
                  <c:v>267.42680782176666</c:v>
                </c:pt>
                <c:pt idx="34">
                  <c:v>283.73591438004945</c:v>
                </c:pt>
                <c:pt idx="35">
                  <c:v>300.02403249547734</c:v>
                </c:pt>
                <c:pt idx="36">
                  <c:v>316.29246191955457</c:v>
                </c:pt>
                <c:pt idx="37">
                  <c:v>332.54235777302125</c:v>
                </c:pt>
                <c:pt idx="38">
                  <c:v>348.77475306916608</c:v>
                </c:pt>
                <c:pt idx="39">
                  <c:v>364.99057682300844</c:v>
                </c:pt>
                <c:pt idx="40">
                  <c:v>381.19066877305664</c:v>
                </c:pt>
                <c:pt idx="41">
                  <c:v>286.35837196420709</c:v>
                </c:pt>
                <c:pt idx="42">
                  <c:v>299.8369269420906</c:v>
                </c:pt>
                <c:pt idx="43">
                  <c:v>313.30199011471763</c:v>
                </c:pt>
                <c:pt idx="44">
                  <c:v>326.754223109576</c:v>
                </c:pt>
                <c:pt idx="45">
                  <c:v>340.19422861744857</c:v>
                </c:pt>
                <c:pt idx="46">
                  <c:v>353.62255781268237</c:v>
                </c:pt>
                <c:pt idx="47">
                  <c:v>367.03971658708946</c:v>
                </c:pt>
                <c:pt idx="48">
                  <c:v>380.44617082446945</c:v>
                </c:pt>
                <c:pt idx="49">
                  <c:v>393.8423508926914</c:v>
                </c:pt>
                <c:pt idx="50">
                  <c:v>407.2286554926086</c:v>
                </c:pt>
                <c:pt idx="51">
                  <c:v>324.51304901034973</c:v>
                </c:pt>
                <c:pt idx="52">
                  <c:v>334.96897652893705</c:v>
                </c:pt>
                <c:pt idx="53">
                  <c:v>345.41771532693969</c:v>
                </c:pt>
                <c:pt idx="54">
                  <c:v>355.85951361436645</c:v>
                </c:pt>
                <c:pt idx="55">
                  <c:v>366.29460383970803</c:v>
                </c:pt>
                <c:pt idx="56">
                  <c:v>376.72320412097525</c:v>
                </c:pt>
                <c:pt idx="57">
                  <c:v>387.14551950995337</c:v>
                </c:pt>
                <c:pt idx="58">
                  <c:v>397.56174311317267</c:v>
                </c:pt>
                <c:pt idx="59">
                  <c:v>407.97205708923843</c:v>
                </c:pt>
                <c:pt idx="60">
                  <c:v>418.37663353903184</c:v>
                </c:pt>
                <c:pt idx="61">
                  <c:v>351.9446375159219</c:v>
                </c:pt>
                <c:pt idx="62">
                  <c:v>359.95980096859495</c:v>
                </c:pt>
                <c:pt idx="63">
                  <c:v>367.97106108239876</c:v>
                </c:pt>
                <c:pt idx="64">
                  <c:v>375.97851488635962</c:v>
                </c:pt>
                <c:pt idx="65">
                  <c:v>383.98225493635528</c:v>
                </c:pt>
                <c:pt idx="66">
                  <c:v>391.98236961231675</c:v>
                </c:pt>
                <c:pt idx="67">
                  <c:v>399.97894338989158</c:v>
                </c:pt>
                <c:pt idx="68">
                  <c:v>407.97205708923872</c:v>
                </c:pt>
                <c:pt idx="69">
                  <c:v>415.96178810329894</c:v>
                </c:pt>
                <c:pt idx="70">
                  <c:v>423.94821060760842</c:v>
                </c:pt>
                <c:pt idx="71">
                  <c:v>370.57855237838561</c:v>
                </c:pt>
                <c:pt idx="72">
                  <c:v>376.72320412097542</c:v>
                </c:pt>
                <c:pt idx="73">
                  <c:v>382.86567361197154</c:v>
                </c:pt>
                <c:pt idx="74">
                  <c:v>389.00600083506538</c:v>
                </c:pt>
                <c:pt idx="75">
                  <c:v>395.14422440751946</c:v>
                </c:pt>
                <c:pt idx="76">
                  <c:v>401.28038164783965</c:v>
                </c:pt>
                <c:pt idx="77">
                  <c:v>407.41450863908841</c:v>
                </c:pt>
                <c:pt idx="78">
                  <c:v>413.54664028818576</c:v>
                </c:pt>
                <c:pt idx="79">
                  <c:v>419.67681038150459</c:v>
                </c:pt>
                <c:pt idx="80">
                  <c:v>425.80505163704908</c:v>
                </c:pt>
                <c:pt idx="81">
                  <c:v>385.84306708196317</c:v>
                </c:pt>
                <c:pt idx="82">
                  <c:v>390.49424676672476</c:v>
                </c:pt>
                <c:pt idx="83">
                  <c:v>395.14422440751952</c:v>
                </c:pt>
                <c:pt idx="84">
                  <c:v>399.79301616201752</c:v>
                </c:pt>
                <c:pt idx="85">
                  <c:v>404.44063778104493</c:v>
                </c:pt>
                <c:pt idx="86">
                  <c:v>409.08710462349313</c:v>
                </c:pt>
                <c:pt idx="87">
                  <c:v>413.73243167051163</c:v>
                </c:pt>
                <c:pt idx="88">
                  <c:v>418.37663353903218</c:v>
                </c:pt>
                <c:pt idx="89">
                  <c:v>423.01972449465916</c:v>
                </c:pt>
                <c:pt idx="90">
                  <c:v>427.66171846396463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2.2556644606239846</c:v>
                </c:pt>
                <c:pt idx="2">
                  <c:v>3.0757418122076809</c:v>
                </c:pt>
                <c:pt idx="3">
                  <c:v>4.1952300935561908</c:v>
                </c:pt>
                <c:pt idx="4">
                  <c:v>5.7238776900753008</c:v>
                </c:pt>
                <c:pt idx="5">
                  <c:v>7.8118092350420092</c:v>
                </c:pt>
                <c:pt idx="6">
                  <c:v>17.932610249294115</c:v>
                </c:pt>
                <c:pt idx="7">
                  <c:v>27.877310631491426</c:v>
                </c:pt>
                <c:pt idx="8">
                  <c:v>37.720869523582195</c:v>
                </c:pt>
                <c:pt idx="9">
                  <c:v>47.493932035552604</c:v>
                </c:pt>
                <c:pt idx="10">
                  <c:v>57.213199183697107</c:v>
                </c:pt>
                <c:pt idx="11">
                  <c:v>74.263731385281588</c:v>
                </c:pt>
                <c:pt idx="12">
                  <c:v>91.21378336117408</c:v>
                </c:pt>
                <c:pt idx="13">
                  <c:v>108.08477741643139</c:v>
                </c:pt>
                <c:pt idx="14">
                  <c:v>124.89083654318348</c:v>
                </c:pt>
                <c:pt idx="15">
                  <c:v>141.64194831023977</c:v>
                </c:pt>
                <c:pt idx="16">
                  <c:v>163.62605372984183</c:v>
                </c:pt>
                <c:pt idx="17">
                  <c:v>185.54026327979477</c:v>
                </c:pt>
                <c:pt idx="18">
                  <c:v>207.39400013243321</c:v>
                </c:pt>
                <c:pt idx="19">
                  <c:v>229.19453468048005</c:v>
                </c:pt>
                <c:pt idx="20">
                  <c:v>250.94763914914006</c:v>
                </c:pt>
                <c:pt idx="21">
                  <c:v>6.1170785589788349E-13</c:v>
                </c:pt>
                <c:pt idx="22">
                  <c:v>6.1170785589788349E-13</c:v>
                </c:pt>
                <c:pt idx="23">
                  <c:v>6.1170785589788349E-13</c:v>
                </c:pt>
                <c:pt idx="24">
                  <c:v>6.1170785589788349E-13</c:v>
                </c:pt>
                <c:pt idx="25">
                  <c:v>6.1170785589788349E-13</c:v>
                </c:pt>
                <c:pt idx="26">
                  <c:v>6.1170785589788349E-13</c:v>
                </c:pt>
                <c:pt idx="27">
                  <c:v>6.1170785589788349E-13</c:v>
                </c:pt>
                <c:pt idx="28">
                  <c:v>6.1170785589788349E-13</c:v>
                </c:pt>
                <c:pt idx="29">
                  <c:v>6.1170785589788349E-13</c:v>
                </c:pt>
                <c:pt idx="30">
                  <c:v>6.1170785589788349E-13</c:v>
                </c:pt>
                <c:pt idx="31">
                  <c:v>6.1170785589788349E-13</c:v>
                </c:pt>
                <c:pt idx="32">
                  <c:v>6.1170785589788349E-13</c:v>
                </c:pt>
                <c:pt idx="33">
                  <c:v>6.1170785589788349E-13</c:v>
                </c:pt>
                <c:pt idx="34">
                  <c:v>6.1170785589788349E-13</c:v>
                </c:pt>
                <c:pt idx="35">
                  <c:v>6.1170785589788349E-13</c:v>
                </c:pt>
                <c:pt idx="36">
                  <c:v>6.1170785589788349E-13</c:v>
                </c:pt>
                <c:pt idx="37">
                  <c:v>6.1170785589788349E-13</c:v>
                </c:pt>
                <c:pt idx="38">
                  <c:v>6.1170785589788349E-13</c:v>
                </c:pt>
                <c:pt idx="39">
                  <c:v>6.1170785589788349E-13</c:v>
                </c:pt>
                <c:pt idx="40">
                  <c:v>6.1170785589788349E-13</c:v>
                </c:pt>
                <c:pt idx="41">
                  <c:v>6.1170785589788349E-13</c:v>
                </c:pt>
                <c:pt idx="42">
                  <c:v>6.1170785589788349E-13</c:v>
                </c:pt>
                <c:pt idx="43">
                  <c:v>6.1170785589788349E-13</c:v>
                </c:pt>
                <c:pt idx="44">
                  <c:v>6.1170785589788349E-13</c:v>
                </c:pt>
                <c:pt idx="45">
                  <c:v>6.1170785589788349E-13</c:v>
                </c:pt>
                <c:pt idx="46">
                  <c:v>6.1170785589788349E-13</c:v>
                </c:pt>
                <c:pt idx="47">
                  <c:v>6.1170785589788349E-13</c:v>
                </c:pt>
                <c:pt idx="48">
                  <c:v>6.1170785589788349E-13</c:v>
                </c:pt>
                <c:pt idx="49">
                  <c:v>6.1170785589788349E-13</c:v>
                </c:pt>
                <c:pt idx="50">
                  <c:v>6.1170785589788349E-13</c:v>
                </c:pt>
                <c:pt idx="51">
                  <c:v>6.1170785589788349E-13</c:v>
                </c:pt>
                <c:pt idx="52">
                  <c:v>6.1170785589788349E-13</c:v>
                </c:pt>
                <c:pt idx="53">
                  <c:v>6.1170785589788349E-13</c:v>
                </c:pt>
                <c:pt idx="54">
                  <c:v>6.1170785589788349E-13</c:v>
                </c:pt>
                <c:pt idx="55">
                  <c:v>6.1170785589788349E-13</c:v>
                </c:pt>
                <c:pt idx="56">
                  <c:v>6.1170785589788349E-13</c:v>
                </c:pt>
                <c:pt idx="57">
                  <c:v>6.1170785589788349E-13</c:v>
                </c:pt>
                <c:pt idx="58">
                  <c:v>6.1170785589788349E-13</c:v>
                </c:pt>
                <c:pt idx="59">
                  <c:v>6.1170785589788349E-13</c:v>
                </c:pt>
                <c:pt idx="60">
                  <c:v>6.1170785589788349E-13</c:v>
                </c:pt>
                <c:pt idx="61">
                  <c:v>6.1170785589788349E-13</c:v>
                </c:pt>
                <c:pt idx="62">
                  <c:v>6.1170785589788349E-13</c:v>
                </c:pt>
                <c:pt idx="63">
                  <c:v>6.1170785589788349E-13</c:v>
                </c:pt>
                <c:pt idx="64">
                  <c:v>6.1170785589788349E-13</c:v>
                </c:pt>
                <c:pt idx="65">
                  <c:v>6.1170785589788349E-13</c:v>
                </c:pt>
                <c:pt idx="66">
                  <c:v>6.1170785589788349E-13</c:v>
                </c:pt>
                <c:pt idx="67">
                  <c:v>6.1170785589788349E-13</c:v>
                </c:pt>
                <c:pt idx="68">
                  <c:v>6.1170785589788349E-13</c:v>
                </c:pt>
                <c:pt idx="69">
                  <c:v>6.1170785589788349E-13</c:v>
                </c:pt>
                <c:pt idx="70">
                  <c:v>6.1170785589788349E-13</c:v>
                </c:pt>
                <c:pt idx="71">
                  <c:v>6.1170785589788349E-13</c:v>
                </c:pt>
                <c:pt idx="72">
                  <c:v>6.1170785589788349E-13</c:v>
                </c:pt>
                <c:pt idx="73">
                  <c:v>6.1170785589788349E-13</c:v>
                </c:pt>
                <c:pt idx="74">
                  <c:v>6.1170785589788349E-13</c:v>
                </c:pt>
                <c:pt idx="75">
                  <c:v>6.1170785589788349E-13</c:v>
                </c:pt>
                <c:pt idx="76">
                  <c:v>6.1170785589788349E-13</c:v>
                </c:pt>
                <c:pt idx="77">
                  <c:v>6.1170785589788349E-13</c:v>
                </c:pt>
                <c:pt idx="78">
                  <c:v>6.1170785589788349E-13</c:v>
                </c:pt>
                <c:pt idx="79">
                  <c:v>6.1170785589788349E-13</c:v>
                </c:pt>
                <c:pt idx="80">
                  <c:v>6.1170785589788349E-13</c:v>
                </c:pt>
                <c:pt idx="81">
                  <c:v>6.1170785589788349E-13</c:v>
                </c:pt>
                <c:pt idx="82">
                  <c:v>6.1170785589788349E-13</c:v>
                </c:pt>
                <c:pt idx="83">
                  <c:v>6.1170785589788349E-13</c:v>
                </c:pt>
                <c:pt idx="84">
                  <c:v>6.1170785589788349E-13</c:v>
                </c:pt>
                <c:pt idx="85">
                  <c:v>6.1170785589788349E-13</c:v>
                </c:pt>
                <c:pt idx="86">
                  <c:v>6.1170785589788349E-13</c:v>
                </c:pt>
                <c:pt idx="87">
                  <c:v>6.1170785589788349E-13</c:v>
                </c:pt>
                <c:pt idx="88">
                  <c:v>6.1170785589788349E-13</c:v>
                </c:pt>
                <c:pt idx="89">
                  <c:v>6.1170785589788349E-13</c:v>
                </c:pt>
                <c:pt idx="90">
                  <c:v>6.1170785589788349E-13</c:v>
                </c:pt>
                <c:pt idx="91">
                  <c:v>6.1170785589788349E-13</c:v>
                </c:pt>
                <c:pt idx="92">
                  <c:v>6.1170785589788349E-13</c:v>
                </c:pt>
                <c:pt idx="93">
                  <c:v>6.1170785589788349E-13</c:v>
                </c:pt>
                <c:pt idx="94">
                  <c:v>6.1170785589788349E-13</c:v>
                </c:pt>
                <c:pt idx="95">
                  <c:v>6.1170785589788349E-13</c:v>
                </c:pt>
                <c:pt idx="96">
                  <c:v>6.1170785589788349E-13</c:v>
                </c:pt>
                <c:pt idx="97">
                  <c:v>6.1170785589788349E-13</c:v>
                </c:pt>
                <c:pt idx="98">
                  <c:v>6.1170785589788349E-13</c:v>
                </c:pt>
                <c:pt idx="99">
                  <c:v>6.1170785589788349E-13</c:v>
                </c:pt>
                <c:pt idx="100">
                  <c:v>6.1170785589788349E-13</c:v>
                </c:pt>
                <c:pt idx="101">
                  <c:v>6.1170785589788349E-13</c:v>
                </c:pt>
                <c:pt idx="102">
                  <c:v>6.1170785589788349E-13</c:v>
                </c:pt>
                <c:pt idx="103">
                  <c:v>6.1170785589788349E-13</c:v>
                </c:pt>
                <c:pt idx="104">
                  <c:v>6.1170785589788349E-13</c:v>
                </c:pt>
                <c:pt idx="105">
                  <c:v>6.1170785589788349E-13</c:v>
                </c:pt>
                <c:pt idx="106">
                  <c:v>6.1170785589788349E-13</c:v>
                </c:pt>
                <c:pt idx="107">
                  <c:v>6.1170785589788349E-13</c:v>
                </c:pt>
                <c:pt idx="108">
                  <c:v>6.1170785589788349E-13</c:v>
                </c:pt>
                <c:pt idx="109">
                  <c:v>6.1170785589788349E-13</c:v>
                </c:pt>
                <c:pt idx="110">
                  <c:v>6.1170785589788349E-13</c:v>
                </c:pt>
                <c:pt idx="111">
                  <c:v>6.1170785589788349E-13</c:v>
                </c:pt>
                <c:pt idx="112">
                  <c:v>6.1170785589788349E-13</c:v>
                </c:pt>
                <c:pt idx="113">
                  <c:v>6.1170785589788349E-13</c:v>
                </c:pt>
                <c:pt idx="114">
                  <c:v>6.1170785589788349E-13</c:v>
                </c:pt>
                <c:pt idx="115">
                  <c:v>6.1170785589788349E-13</c:v>
                </c:pt>
                <c:pt idx="116">
                  <c:v>6.1170785589788349E-13</c:v>
                </c:pt>
                <c:pt idx="117">
                  <c:v>6.1170785589788349E-13</c:v>
                </c:pt>
                <c:pt idx="118">
                  <c:v>6.1170785589788349E-13</c:v>
                </c:pt>
                <c:pt idx="119">
                  <c:v>6.1170785589788349E-13</c:v>
                </c:pt>
                <c:pt idx="120">
                  <c:v>6.1170785589788349E-13</c:v>
                </c:pt>
                <c:pt idx="121">
                  <c:v>6.1170785589788349E-13</c:v>
                </c:pt>
                <c:pt idx="122">
                  <c:v>6.1170785589788349E-13</c:v>
                </c:pt>
                <c:pt idx="123">
                  <c:v>6.1170785589788349E-13</c:v>
                </c:pt>
                <c:pt idx="124">
                  <c:v>6.1170785589788349E-13</c:v>
                </c:pt>
                <c:pt idx="125">
                  <c:v>6.1170785589788349E-13</c:v>
                </c:pt>
                <c:pt idx="126">
                  <c:v>6.1170785589788349E-13</c:v>
                </c:pt>
                <c:pt idx="127">
                  <c:v>6.1170785589788349E-13</c:v>
                </c:pt>
                <c:pt idx="128">
                  <c:v>6.1170785589788349E-13</c:v>
                </c:pt>
                <c:pt idx="129">
                  <c:v>6.1170785589788349E-13</c:v>
                </c:pt>
                <c:pt idx="130">
                  <c:v>6.1170785589788349E-13</c:v>
                </c:pt>
                <c:pt idx="131">
                  <c:v>6.1170785589788349E-13</c:v>
                </c:pt>
                <c:pt idx="132">
                  <c:v>6.1170785589788349E-13</c:v>
                </c:pt>
                <c:pt idx="133">
                  <c:v>6.1170785589788349E-13</c:v>
                </c:pt>
                <c:pt idx="134">
                  <c:v>6.1170785589788349E-13</c:v>
                </c:pt>
                <c:pt idx="135">
                  <c:v>6.1170785589788349E-13</c:v>
                </c:pt>
                <c:pt idx="136">
                  <c:v>6.1170785589788349E-13</c:v>
                </c:pt>
                <c:pt idx="137">
                  <c:v>6.1170785589788349E-13</c:v>
                </c:pt>
                <c:pt idx="138">
                  <c:v>6.1170785589788349E-13</c:v>
                </c:pt>
                <c:pt idx="139">
                  <c:v>6.1170785589788349E-13</c:v>
                </c:pt>
                <c:pt idx="140">
                  <c:v>6.1170785589788349E-13</c:v>
                </c:pt>
                <c:pt idx="141">
                  <c:v>6.1170785589788349E-13</c:v>
                </c:pt>
                <c:pt idx="142">
                  <c:v>6.1170785589788349E-13</c:v>
                </c:pt>
                <c:pt idx="143">
                  <c:v>6.1170785589788349E-13</c:v>
                </c:pt>
                <c:pt idx="144">
                  <c:v>6.1170785589788349E-13</c:v>
                </c:pt>
                <c:pt idx="145">
                  <c:v>6.1170785589788349E-13</c:v>
                </c:pt>
                <c:pt idx="146">
                  <c:v>6.1170785589788349E-13</c:v>
                </c:pt>
                <c:pt idx="147">
                  <c:v>6.1170785589788349E-13</c:v>
                </c:pt>
                <c:pt idx="148">
                  <c:v>6.1170785589788349E-13</c:v>
                </c:pt>
                <c:pt idx="149">
                  <c:v>6.1170785589788349E-13</c:v>
                </c:pt>
                <c:pt idx="150">
                  <c:v>6.1170785589788349E-13</c:v>
                </c:pt>
                <c:pt idx="151">
                  <c:v>6.1170785589788349E-13</c:v>
                </c:pt>
                <c:pt idx="152">
                  <c:v>6.1170785589788349E-13</c:v>
                </c:pt>
                <c:pt idx="153">
                  <c:v>6.1170785589788349E-13</c:v>
                </c:pt>
                <c:pt idx="154">
                  <c:v>6.1170785589788349E-13</c:v>
                </c:pt>
                <c:pt idx="155">
                  <c:v>6.1170785589788349E-13</c:v>
                </c:pt>
                <c:pt idx="156">
                  <c:v>6.1170785589788349E-13</c:v>
                </c:pt>
                <c:pt idx="157">
                  <c:v>6.1170785589788349E-13</c:v>
                </c:pt>
                <c:pt idx="158">
                  <c:v>6.1170785589788349E-13</c:v>
                </c:pt>
                <c:pt idx="159">
                  <c:v>6.1170785589788349E-13</c:v>
                </c:pt>
                <c:pt idx="160">
                  <c:v>6.1170785589788349E-13</c:v>
                </c:pt>
                <c:pt idx="161">
                  <c:v>6.1170785589788349E-13</c:v>
                </c:pt>
                <c:pt idx="162">
                  <c:v>6.1170785589788349E-13</c:v>
                </c:pt>
                <c:pt idx="163">
                  <c:v>6.1170785589788349E-13</c:v>
                </c:pt>
                <c:pt idx="164">
                  <c:v>6.1170785589788349E-13</c:v>
                </c:pt>
                <c:pt idx="165">
                  <c:v>6.1170785589788349E-13</c:v>
                </c:pt>
                <c:pt idx="166">
                  <c:v>6.1170785589788349E-13</c:v>
                </c:pt>
                <c:pt idx="167">
                  <c:v>6.1170785589788349E-13</c:v>
                </c:pt>
                <c:pt idx="168">
                  <c:v>6.1170785589788349E-13</c:v>
                </c:pt>
                <c:pt idx="169">
                  <c:v>6.1170785589788349E-13</c:v>
                </c:pt>
                <c:pt idx="170">
                  <c:v>6.1170785589788349E-13</c:v>
                </c:pt>
                <c:pt idx="171">
                  <c:v>6.1170785589788349E-13</c:v>
                </c:pt>
                <c:pt idx="172">
                  <c:v>6.1170785589788349E-13</c:v>
                </c:pt>
                <c:pt idx="173">
                  <c:v>6.1170785589788349E-13</c:v>
                </c:pt>
                <c:pt idx="174">
                  <c:v>6.1170785589788349E-13</c:v>
                </c:pt>
                <c:pt idx="175">
                  <c:v>6.1170785589788349E-13</c:v>
                </c:pt>
                <c:pt idx="176">
                  <c:v>6.1170785589788349E-13</c:v>
                </c:pt>
                <c:pt idx="177">
                  <c:v>6.1170785589788349E-13</c:v>
                </c:pt>
                <c:pt idx="178">
                  <c:v>6.1170785589788349E-13</c:v>
                </c:pt>
                <c:pt idx="179">
                  <c:v>6.1170785589788349E-13</c:v>
                </c:pt>
                <c:pt idx="180">
                  <c:v>6.1170785589788349E-13</c:v>
                </c:pt>
                <c:pt idx="181">
                  <c:v>6.1170785589788349E-13</c:v>
                </c:pt>
                <c:pt idx="182">
                  <c:v>6.1170785589788349E-13</c:v>
                </c:pt>
                <c:pt idx="183">
                  <c:v>6.1170785589788349E-13</c:v>
                </c:pt>
                <c:pt idx="184">
                  <c:v>6.1170785589788349E-13</c:v>
                </c:pt>
                <c:pt idx="185">
                  <c:v>6.1170785589788349E-13</c:v>
                </c:pt>
                <c:pt idx="186">
                  <c:v>6.1170785589788349E-13</c:v>
                </c:pt>
                <c:pt idx="187">
                  <c:v>6.1170785589788349E-13</c:v>
                </c:pt>
                <c:pt idx="188">
                  <c:v>6.1170785589788349E-13</c:v>
                </c:pt>
                <c:pt idx="189">
                  <c:v>6.1170785589788349E-13</c:v>
                </c:pt>
                <c:pt idx="190">
                  <c:v>6.1170785589788349E-13</c:v>
                </c:pt>
                <c:pt idx="191">
                  <c:v>6.1170785589788349E-13</c:v>
                </c:pt>
                <c:pt idx="192">
                  <c:v>6.1170785589788349E-13</c:v>
                </c:pt>
                <c:pt idx="193">
                  <c:v>6.1170785589788349E-13</c:v>
                </c:pt>
                <c:pt idx="194">
                  <c:v>6.1170785589788349E-13</c:v>
                </c:pt>
                <c:pt idx="195">
                  <c:v>6.1170785589788349E-13</c:v>
                </c:pt>
                <c:pt idx="196">
                  <c:v>6.1170785589788349E-13</c:v>
                </c:pt>
                <c:pt idx="197">
                  <c:v>6.1170785589788349E-13</c:v>
                </c:pt>
                <c:pt idx="198">
                  <c:v>6.1170785589788349E-13</c:v>
                </c:pt>
                <c:pt idx="199">
                  <c:v>6.1170785589788349E-13</c:v>
                </c:pt>
                <c:pt idx="200">
                  <c:v>6.1170785589788349E-13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6" zoomScale="80" zoomScaleNormal="80" workbookViewId="0">
      <selection activeCell="E104" sqref="E10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7.31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</v>
      </c>
      <c r="D9" s="33">
        <f t="shared" ref="D9:D18" si="0">C9*$C$5</f>
        <v>2.1929999999999996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0.4</v>
      </c>
      <c r="D10" s="33">
        <f t="shared" si="0"/>
        <v>2.9239999999999999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321</v>
      </c>
      <c r="C11" s="32">
        <v>0.3</v>
      </c>
      <c r="D11" s="33">
        <f t="shared" si="0"/>
        <v>2.1929999999999996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7.3099999999999987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15</v>
      </c>
      <c r="B36" s="60">
        <v>32</v>
      </c>
      <c r="C36" s="60"/>
      <c r="D36" s="60">
        <v>0</v>
      </c>
      <c r="E36" s="51"/>
      <c r="F36" s="51"/>
      <c r="G36" s="51"/>
      <c r="H36" s="51"/>
      <c r="I36" s="49">
        <f>IFERROR(B36/A36,"")</f>
        <v>2.1333333333333333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95</v>
      </c>
      <c r="C37" s="60">
        <v>1</v>
      </c>
      <c r="D37" s="60">
        <v>20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12.6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240</v>
      </c>
      <c r="C38" s="60">
        <v>2</v>
      </c>
      <c r="D38" s="60">
        <v>84</v>
      </c>
      <c r="E38" s="51">
        <v>0.1</v>
      </c>
      <c r="F38" s="51">
        <v>0.45</v>
      </c>
      <c r="G38" s="51">
        <v>0.45</v>
      </c>
      <c r="H38" s="51"/>
      <c r="I38" s="53">
        <f t="shared" si="1"/>
        <v>16.5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329</v>
      </c>
      <c r="C39" s="60">
        <v>3</v>
      </c>
      <c r="D39" s="60">
        <v>84</v>
      </c>
      <c r="E39" s="51"/>
      <c r="F39" s="51"/>
      <c r="G39" s="51"/>
      <c r="H39" s="51"/>
      <c r="I39" s="49">
        <f t="shared" si="1"/>
        <v>17.3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400</v>
      </c>
      <c r="C40" s="60">
        <v>4</v>
      </c>
      <c r="D40" s="60">
        <v>84</v>
      </c>
      <c r="E40" s="51"/>
      <c r="F40" s="51"/>
      <c r="G40" s="51"/>
      <c r="H40" s="51"/>
      <c r="I40" s="49">
        <f t="shared" si="1"/>
        <v>15.5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448</v>
      </c>
      <c r="C41" s="60">
        <v>5</v>
      </c>
      <c r="D41" s="60">
        <v>69</v>
      </c>
      <c r="E41" s="51"/>
      <c r="F41" s="51"/>
      <c r="G41" s="51"/>
      <c r="H41" s="51"/>
      <c r="I41" s="53">
        <f t="shared" si="1"/>
        <v>13.2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485</v>
      </c>
      <c r="C42" s="60">
        <v>6</v>
      </c>
      <c r="D42" s="60">
        <v>54</v>
      </c>
      <c r="E42" s="51"/>
      <c r="F42" s="51"/>
      <c r="G42" s="51"/>
      <c r="H42" s="51"/>
      <c r="I42" s="53">
        <f t="shared" si="1"/>
        <v>10.6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v>514</v>
      </c>
      <c r="C43" s="60">
        <v>7</v>
      </c>
      <c r="D43" s="60">
        <v>514</v>
      </c>
      <c r="E43" s="51"/>
      <c r="F43" s="51"/>
      <c r="G43" s="51"/>
      <c r="H43" s="51"/>
      <c r="I43" s="49">
        <f t="shared" si="1"/>
        <v>8.3000000000000007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105</v>
      </c>
      <c r="C62" s="60">
        <v>1</v>
      </c>
      <c r="D62" s="60">
        <v>32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175</v>
      </c>
      <c r="C63" s="60">
        <v>2</v>
      </c>
      <c r="D63" s="60">
        <v>62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200</v>
      </c>
      <c r="C64" s="60">
        <v>3</v>
      </c>
      <c r="D64" s="60">
        <v>58</v>
      </c>
      <c r="E64" s="51"/>
      <c r="F64" s="51"/>
      <c r="G64" s="51"/>
      <c r="H64" s="51"/>
      <c r="I64" s="49">
        <f>IF(A64&lt;&gt;0,(B64-(B63-D63))/(A64-A63),"")</f>
        <v>8.6999999999999993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214</v>
      </c>
      <c r="C65" s="60">
        <v>4</v>
      </c>
      <c r="D65" s="60">
        <v>50</v>
      </c>
      <c r="E65" s="51"/>
      <c r="F65" s="51"/>
      <c r="G65" s="51"/>
      <c r="H65" s="51"/>
      <c r="I65" s="49">
        <f>IF(A65&lt;&gt;0,(B65-(B64-D64))/(A65-A64),"")</f>
        <v>7.2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220</v>
      </c>
      <c r="C66" s="60">
        <v>5</v>
      </c>
      <c r="D66" s="60">
        <v>40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223</v>
      </c>
      <c r="C67" s="60">
        <v>6</v>
      </c>
      <c r="D67" s="60">
        <v>32</v>
      </c>
      <c r="E67" s="51"/>
      <c r="F67" s="51"/>
      <c r="G67" s="51"/>
      <c r="H67" s="51"/>
      <c r="I67" s="49">
        <f t="shared" si="2"/>
        <v>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224</v>
      </c>
      <c r="C68" s="60">
        <v>7</v>
      </c>
      <c r="D68" s="60">
        <v>24</v>
      </c>
      <c r="E68" s="51"/>
      <c r="F68" s="51"/>
      <c r="G68" s="51"/>
      <c r="H68" s="51"/>
      <c r="I68" s="49">
        <f t="shared" si="2"/>
        <v>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225</v>
      </c>
      <c r="C69" s="50">
        <v>8</v>
      </c>
      <c r="D69" s="50">
        <v>225</v>
      </c>
      <c r="E69" s="51"/>
      <c r="F69" s="51"/>
      <c r="G69" s="51"/>
      <c r="H69" s="51"/>
      <c r="I69" s="49">
        <f t="shared" si="2"/>
        <v>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Tulipier de Virginie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5</v>
      </c>
      <c r="B88" s="60">
        <v>5</v>
      </c>
      <c r="C88" s="60"/>
      <c r="D88" s="60"/>
      <c r="E88" s="51"/>
      <c r="F88" s="51"/>
      <c r="G88" s="51"/>
      <c r="H88" s="87"/>
      <c r="I88" s="53">
        <f>IFERROR(B88/A88,"")</f>
        <v>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10</v>
      </c>
      <c r="B89" s="60">
        <v>39</v>
      </c>
      <c r="C89" s="60"/>
      <c r="D89" s="60"/>
      <c r="E89" s="51"/>
      <c r="F89" s="51"/>
      <c r="G89" s="51"/>
      <c r="H89" s="87"/>
      <c r="I89" s="53">
        <f t="shared" ref="I89:I107" si="3">IF(A89&lt;&gt;0,(B89-(B88-D88))/(A89-A88),"")</f>
        <v>6.8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15</v>
      </c>
      <c r="B90" s="60">
        <v>99</v>
      </c>
      <c r="C90" s="60"/>
      <c r="D90" s="60"/>
      <c r="E90" s="87"/>
      <c r="F90" s="87"/>
      <c r="G90" s="87"/>
      <c r="H90" s="87"/>
      <c r="I90" s="53">
        <f t="shared" si="3"/>
        <v>12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20</v>
      </c>
      <c r="B91" s="60">
        <v>178</v>
      </c>
      <c r="C91" s="60"/>
      <c r="D91" s="60">
        <v>178</v>
      </c>
      <c r="E91" s="87">
        <v>0.78</v>
      </c>
      <c r="F91" s="87">
        <v>0</v>
      </c>
      <c r="G91" s="87">
        <v>0.22</v>
      </c>
      <c r="H91" s="87"/>
      <c r="I91" s="53">
        <f t="shared" si="3"/>
        <v>15.8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8" sqref="F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Tulipier de Virginie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235.10258076192054</v>
      </c>
      <c r="T3" s="59">
        <f>IF('Données projet'!E9&gt;30,$R$33-$H$33,LOOKUP('Données projet'!$E$9,$A$3:$A$203,R3:R203)-LOOKUP('Données projet'!$E$9,$A$3:$A$203,$H$3:$H$203))</f>
        <v>233.47316052603765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191.94797389630673</v>
      </c>
      <c r="AO3" s="59">
        <f>IF('Données projet'!E10&gt;30,$AM$33-$H$33,LOOKUP('Données projet'!$E$10,$A$3:$A$203,AM3:AM203)-LOOKUP('Données projet'!$E$10,$A$3:$A$203,$H$3:$H$203))</f>
        <v>273.52540822767878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64.256756080189803</v>
      </c>
      <c r="BJ3" s="59">
        <f>IF('Données projet'!E11&gt;30,$BH$33-$H$33,LOOKUP('Données projet'!$E$11,$A$3:$A$203,BH3:BH203)-LOOKUP('Données projet'!$E$11,$A$3:$A$203,$H$3:$H$203))</f>
        <v>209.76343043971747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2.1333333333333333</v>
      </c>
      <c r="N4" s="13">
        <f>IF('Données projet'!$A$36&gt;35,N3+M4-V3,IF(A4&lt;'Données projet'!$A$36,$K$205^A4,IF(A4='Données projet'!$A$36,'Données projet'!$B$36,N3+M4-V3)))</f>
        <v>1.2599210498948732</v>
      </c>
      <c r="O4" s="13">
        <f>N4*VLOOKUP('Données projet'!$B$9,Paramètres!$A$1:$I$89,3,0)*VLOOKUP('Données projet'!$B$9,Paramètres!$A$1:$I$89,5,0)</f>
        <v>0.70429586689123413</v>
      </c>
      <c r="P4" s="13">
        <f>EXP(-1.0587+0.8836*LN(O4)+0.284)</f>
        <v>0.33808702695309084</v>
      </c>
      <c r="Q4" s="20">
        <f t="shared" ref="Q4:Q34" si="2">(O4+P4)*0.475*44/12</f>
        <v>1.8154835401121989</v>
      </c>
      <c r="R4" s="59">
        <f t="shared" si="0"/>
        <v>295.14881687344553</v>
      </c>
      <c r="S4" s="59">
        <f ca="1">AVERAGE(OFFSET($R$3,0,0,'Données projet'!$E$9+1,1))-AVERAGE(OFFSET($H$3,0,0,'Données projet'!$E$9+1,1))</f>
        <v>235.10258076192054</v>
      </c>
      <c r="T4" s="59">
        <f>$T$3</f>
        <v>233.47316052603765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5.25</v>
      </c>
      <c r="AI4" s="13">
        <f>IF('Données projet'!$A$62&gt;35,AI3+AH4-AQ3,IF(A4&lt;'Données projet'!$A$62,$AF$205^A4,IF(A4='Données projet'!$A$62,'Données projet'!$B$62,AI3+AH4-AQ3)))</f>
        <v>1.2620003197767753</v>
      </c>
      <c r="AJ4" s="13">
        <f>AI4*VLOOKUP('Données projet'!$B$10,Paramètres!$A$1:$I$89,3,0)*VLOOKUP('Données projet'!$B$10,Paramètres!$A$1:$I$89,5,0)</f>
        <v>1.1024834793569909</v>
      </c>
      <c r="AK4" s="13">
        <f>EXP(-1.0587+0.8836*LN(AJ4)+0.284)</f>
        <v>0.50233338685937634</v>
      </c>
      <c r="AL4" s="20">
        <f t="shared" ref="AL4:AL67" si="4">(AJ4+AK4)*0.475*44/12</f>
        <v>2.7950560419935062</v>
      </c>
      <c r="AM4" s="59">
        <f t="shared" ref="AM4:AM67" si="5">AL4+(AD4+AE4)*44/12</f>
        <v>296.12838937532683</v>
      </c>
      <c r="AN4" s="59">
        <f ca="1">AVERAGE(OFFSET($AM$3,0,0,'Données projet'!$E$10+1,1))-AVERAGE(OFFSET($H$3,0,0,'Données projet'!$E$10+1,1))</f>
        <v>191.94797389630673</v>
      </c>
      <c r="AO4" s="59">
        <f>$AO$3</f>
        <v>273.52540822767878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</v>
      </c>
      <c r="BD4" s="12">
        <f>IF('Données projet'!$A$88&gt;35,BD3+BC4-BL3,IF(A4&lt;'Données projet'!$A$88,$BA$205^A4,IF(A4='Données projet'!$A$88,'Données projet'!$B$88,BD3+BC4-BL3)))</f>
        <v>1.3797296614612147</v>
      </c>
      <c r="BE4" s="13">
        <f>BD4*VLOOKUP('Données projet'!$B$11,Paramètres!$A$1:$I$89,3,0)*VLOOKUP('Données projet'!$B$11,Paramètres!$A$1:$I$89,5,0)</f>
        <v>0.88247509147059289</v>
      </c>
      <c r="BF4" s="13">
        <f>EXP(-1.0587+0.8836*LN(BE4)+0.284)</f>
        <v>0.41264325912691036</v>
      </c>
      <c r="BG4" s="20">
        <f t="shared" ref="BG4:BG67" si="7">(BE4+BF4)*0.475*44/12</f>
        <v>2.2556644606239846</v>
      </c>
      <c r="BH4" s="59">
        <f t="shared" ref="BH4:BH67" si="8">BG4+(AY4+AZ4)*44/12</f>
        <v>295.58899779395728</v>
      </c>
      <c r="BI4" s="59">
        <f ca="1">AVERAGE(OFFSET($BH$3,0,0,'Données projet'!$E$11+1,1))-AVERAGE(OFFSET($H$3,0,0,'Données projet'!$E$11+1,1))</f>
        <v>64.256756080189803</v>
      </c>
      <c r="BJ4" s="59">
        <f>$BJ$3</f>
        <v>209.76343043971747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2.1333333333333333</v>
      </c>
      <c r="N5" s="13">
        <f>IF('Données projet'!$A$36&gt;35,N4+M5-V4,IF(A5&lt;'Données projet'!$A$36,$K$205^A5,IF(A5='Données projet'!$A$36,'Données projet'!$B$36,N4+M5-V4)))</f>
        <v>1.5874010519681996</v>
      </c>
      <c r="O5" s="13">
        <f>N5*VLOOKUP('Données projet'!$B$9,Paramètres!$A$1:$I$89,3,0)*VLOOKUP('Données projet'!$B$9,Paramètres!$A$1:$I$89,5,0)</f>
        <v>0.88735718805022368</v>
      </c>
      <c r="P5" s="13">
        <f t="shared" ref="P5:P68" si="33">EXP(-1.0587+0.8836*LN(O5)+0.284)</f>
        <v>0.41465974323591226</v>
      </c>
      <c r="Q5" s="20">
        <f t="shared" si="2"/>
        <v>2.2676794886566864</v>
      </c>
      <c r="R5" s="59">
        <f t="shared" si="0"/>
        <v>295.60101282199003</v>
      </c>
      <c r="S5" s="59">
        <f ca="1">AVERAGE(OFFSET($R$3,0,0,'Données projet'!$E$9+1,1))-AVERAGE(OFFSET($H$3,0,0,'Données projet'!$E$9+1,1))</f>
        <v>235.10258076192054</v>
      </c>
      <c r="T5" s="59">
        <f t="shared" ref="T5:T68" si="34">$T$3</f>
        <v>233.47316052603765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5.25</v>
      </c>
      <c r="AI5" s="13">
        <f>IF('Données projet'!$A$62&gt;35,AI4+AH5-AQ4,IF(A5&lt;'Données projet'!$A$62,$AF$205^A5,IF(A5='Données projet'!$A$62,'Données projet'!$B$62,AI4+AH5-AQ4)))</f>
        <v>1.592644807116683</v>
      </c>
      <c r="AJ5" s="13">
        <f>AI5*VLOOKUP('Données projet'!$B$10,Paramètres!$A$1:$I$89,3,0)*VLOOKUP('Données projet'!$B$10,Paramètres!$A$1:$I$89,5,0)</f>
        <v>1.3913345034971345</v>
      </c>
      <c r="AK5" s="13">
        <f t="shared" ref="AK5:AK68" si="35">EXP(-1.0587+0.8836*LN(AJ5)+0.284)</f>
        <v>0.61700429487653952</v>
      </c>
      <c r="AL5" s="20">
        <f t="shared" si="4"/>
        <v>3.4978567405008154</v>
      </c>
      <c r="AM5" s="59">
        <f t="shared" si="5"/>
        <v>296.83119007383414</v>
      </c>
      <c r="AN5" s="59">
        <f ca="1">AVERAGE(OFFSET($AM$3,0,0,'Données projet'!$E$10+1,1))-AVERAGE(OFFSET($H$3,0,0,'Données projet'!$E$10+1,1))</f>
        <v>191.94797389630673</v>
      </c>
      <c r="AO5" s="59">
        <f t="shared" ref="AO5:AO68" si="36">$AO$3</f>
        <v>273.52540822767878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</v>
      </c>
      <c r="BD5" s="12">
        <f>IF('Données projet'!$A$88&gt;35,BD4+BC5-BL4,IF(A5&lt;'Données projet'!$A$88,$BA$205^A5,IF(A5='Données projet'!$A$88,'Données projet'!$B$88,BD4+BC5-BL4)))</f>
        <v>1.903653938715878</v>
      </c>
      <c r="BE5" s="13">
        <f>BD5*VLOOKUP('Données projet'!$B$11,Paramètres!$A$1:$I$89,3,0)*VLOOKUP('Données projet'!$B$11,Paramètres!$A$1:$I$89,5,0)</f>
        <v>1.2175770592026756</v>
      </c>
      <c r="BF5" s="13">
        <f t="shared" ref="BF5:BF68" si="37">EXP(-1.0587+0.8836*LN(BE5)+0.284)</f>
        <v>0.54839910091656707</v>
      </c>
      <c r="BG5" s="20">
        <f t="shared" si="7"/>
        <v>3.0757418122076809</v>
      </c>
      <c r="BH5" s="59">
        <f t="shared" si="8"/>
        <v>296.40907514554101</v>
      </c>
      <c r="BI5" s="59">
        <f ca="1">AVERAGE(OFFSET($BH$3,0,0,'Données projet'!$E$11+1,1))-AVERAGE(OFFSET($H$3,0,0,'Données projet'!$E$11+1,1))</f>
        <v>64.256756080189803</v>
      </c>
      <c r="BJ5" s="59">
        <f t="shared" ref="BJ5:BJ68" si="38">$BJ$3</f>
        <v>209.76343043971747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2.1333333333333333</v>
      </c>
      <c r="N6" s="13">
        <f>IF('Données projet'!$A$36&gt;35,N5+M6-V5,IF(A6&lt;'Données projet'!$A$36,$K$205^A6,IF(A6='Données projet'!$A$36,'Données projet'!$B$36,N5+M6-V5)))</f>
        <v>2</v>
      </c>
      <c r="O6" s="13">
        <f>N6*VLOOKUP('Données projet'!$B$9,Paramètres!$A$1:$I$89,3,0)*VLOOKUP('Données projet'!$B$9,Paramètres!$A$1:$I$89,5,0)</f>
        <v>1.1180000000000001</v>
      </c>
      <c r="P6" s="13">
        <f t="shared" si="33"/>
        <v>0.50857527486356202</v>
      </c>
      <c r="Q6" s="20">
        <f t="shared" si="2"/>
        <v>2.8329519370540375</v>
      </c>
      <c r="R6" s="59">
        <f t="shared" si="0"/>
        <v>296.16628527038733</v>
      </c>
      <c r="S6" s="59">
        <f ca="1">AVERAGE(OFFSET($R$3,0,0,'Données projet'!$E$9+1,1))-AVERAGE(OFFSET($H$3,0,0,'Données projet'!$E$9+1,1))</f>
        <v>235.10258076192054</v>
      </c>
      <c r="T6" s="59">
        <f t="shared" si="34"/>
        <v>233.47316052603765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5.25</v>
      </c>
      <c r="AI6" s="13">
        <f>IF('Données projet'!$A$62&gt;35,AI5+AH6-AQ5,IF(A6&lt;'Données projet'!$A$62,$AF$205^A6,IF(A6='Données projet'!$A$62,'Données projet'!$B$62,AI5+AH6-AQ5)))</f>
        <v>2.0099182558720745</v>
      </c>
      <c r="AJ6" s="13">
        <f>AI6*VLOOKUP('Données projet'!$B$10,Paramètres!$A$1:$I$89,3,0)*VLOOKUP('Données projet'!$B$10,Paramètres!$A$1:$I$89,5,0)</f>
        <v>1.7558645883298445</v>
      </c>
      <c r="AK6" s="13">
        <f t="shared" si="35"/>
        <v>0.75785187657189812</v>
      </c>
      <c r="AL6" s="20">
        <f t="shared" si="4"/>
        <v>4.378056176370535</v>
      </c>
      <c r="AM6" s="59">
        <f t="shared" si="5"/>
        <v>297.71138950970385</v>
      </c>
      <c r="AN6" s="59">
        <f ca="1">AVERAGE(OFFSET($AM$3,0,0,'Données projet'!$E$10+1,1))-AVERAGE(OFFSET($H$3,0,0,'Données projet'!$E$10+1,1))</f>
        <v>191.94797389630673</v>
      </c>
      <c r="AO6" s="59">
        <f t="shared" si="36"/>
        <v>273.52540822767878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</v>
      </c>
      <c r="BD6" s="12">
        <f>IF('Données projet'!$A$88&gt;35,BD5+BC6-BL5,IF(A6&lt;'Données projet'!$A$88,$BA$205^A6,IF(A6='Données projet'!$A$88,'Données projet'!$B$88,BD5+BC6-BL5)))</f>
        <v>2.6265278044037661</v>
      </c>
      <c r="BE6" s="13">
        <f>BD6*VLOOKUP('Données projet'!$B$11,Paramètres!$A$1:$I$89,3,0)*VLOOKUP('Données projet'!$B$11,Paramètres!$A$1:$I$89,5,0)</f>
        <v>1.6799271836966485</v>
      </c>
      <c r="BF6" s="13">
        <f t="shared" si="37"/>
        <v>0.72881736762748039</v>
      </c>
      <c r="BG6" s="20">
        <f t="shared" si="7"/>
        <v>4.1952300935561908</v>
      </c>
      <c r="BH6" s="59">
        <f t="shared" si="8"/>
        <v>297.52856342688949</v>
      </c>
      <c r="BI6" s="59">
        <f ca="1">AVERAGE(OFFSET($BH$3,0,0,'Données projet'!$E$11+1,1))-AVERAGE(OFFSET($H$3,0,0,'Données projet'!$E$11+1,1))</f>
        <v>64.256756080189803</v>
      </c>
      <c r="BJ6" s="59">
        <f t="shared" si="38"/>
        <v>209.76343043971747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2.1333333333333333</v>
      </c>
      <c r="N7" s="13">
        <f>IF('Données projet'!$A$36&gt;35,N6+M7-V6,IF(A7&lt;'Données projet'!$A$36,$K$205^A7,IF(A7='Données projet'!$A$36,'Données projet'!$B$36,N6+M7-V6)))</f>
        <v>2.5198420997897468</v>
      </c>
      <c r="O7" s="13">
        <f>N7*VLOOKUP('Données projet'!$B$9,Paramètres!$A$1:$I$89,3,0)*VLOOKUP('Données projet'!$B$9,Paramètres!$A$1:$I$89,5,0)</f>
        <v>1.4085917337824683</v>
      </c>
      <c r="P7" s="13">
        <f t="shared" si="33"/>
        <v>0.62376156456402043</v>
      </c>
      <c r="Q7" s="20">
        <f t="shared" si="2"/>
        <v>3.5396819946201337</v>
      </c>
      <c r="R7" s="59">
        <f t="shared" si="0"/>
        <v>296.87301532795345</v>
      </c>
      <c r="S7" s="59">
        <f ca="1">AVERAGE(OFFSET($R$3,0,0,'Données projet'!$E$9+1,1))-AVERAGE(OFFSET($H$3,0,0,'Données projet'!$E$9+1,1))</f>
        <v>235.10258076192054</v>
      </c>
      <c r="T7" s="59">
        <f t="shared" si="34"/>
        <v>233.47316052603765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5.25</v>
      </c>
      <c r="AI7" s="13">
        <f>IF('Données projet'!$A$62&gt;35,AI6+AH7-AQ6,IF(A7&lt;'Données projet'!$A$62,$AF$205^A7,IF(A7='Données projet'!$A$62,'Données projet'!$B$62,AI6+AH7-AQ6)))</f>
        <v>2.5365174816357365</v>
      </c>
      <c r="AJ7" s="13">
        <f>AI7*VLOOKUP('Données projet'!$B$10,Paramètres!$A$1:$I$89,3,0)*VLOOKUP('Données projet'!$B$10,Paramètres!$A$1:$I$89,5,0)</f>
        <v>2.21590167195698</v>
      </c>
      <c r="AK7" s="13">
        <f t="shared" si="35"/>
        <v>0.93085165142727433</v>
      </c>
      <c r="AL7" s="20">
        <f t="shared" si="4"/>
        <v>5.4805953715609093</v>
      </c>
      <c r="AM7" s="59">
        <f t="shared" si="5"/>
        <v>298.81392870489424</v>
      </c>
      <c r="AN7" s="59">
        <f ca="1">AVERAGE(OFFSET($AM$3,0,0,'Données projet'!$E$10+1,1))-AVERAGE(OFFSET($H$3,0,0,'Données projet'!$E$10+1,1))</f>
        <v>191.94797389630673</v>
      </c>
      <c r="AO7" s="59">
        <f t="shared" si="36"/>
        <v>273.52540822767878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</v>
      </c>
      <c r="BD7" s="12">
        <f>IF('Données projet'!$A$88&gt;35,BD6+BC7-BL6,IF(A7&lt;'Données projet'!$A$88,$BA$205^A7,IF(A7='Données projet'!$A$88,'Données projet'!$B$88,BD6+BC7-BL6)))</f>
        <v>3.6238983183884756</v>
      </c>
      <c r="BE7" s="13">
        <f>BD7*VLOOKUP('Données projet'!$B$11,Paramètres!$A$1:$I$89,3,0)*VLOOKUP('Données projet'!$B$11,Paramètres!$A$1:$I$89,5,0)</f>
        <v>2.3178453644412689</v>
      </c>
      <c r="BF7" s="13">
        <f t="shared" si="37"/>
        <v>0.96859158679813817</v>
      </c>
      <c r="BG7" s="20">
        <f t="shared" si="7"/>
        <v>5.7238776900753008</v>
      </c>
      <c r="BH7" s="59">
        <f t="shared" si="8"/>
        <v>299.05721102340863</v>
      </c>
      <c r="BI7" s="59">
        <f ca="1">AVERAGE(OFFSET($BH$3,0,0,'Données projet'!$E$11+1,1))-AVERAGE(OFFSET($H$3,0,0,'Données projet'!$E$11+1,1))</f>
        <v>64.256756080189803</v>
      </c>
      <c r="BJ7" s="59">
        <f t="shared" si="38"/>
        <v>209.76343043971747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2.1333333333333333</v>
      </c>
      <c r="N8" s="13">
        <f>IF('Données projet'!$A$36&gt;35,N7+M8-V7,IF(A8&lt;'Données projet'!$A$36,$K$205^A8,IF(A8='Données projet'!$A$36,'Données projet'!$B$36,N7+M8-V7)))</f>
        <v>3.1748021039363996</v>
      </c>
      <c r="O8" s="13">
        <f>N8*VLOOKUP('Données projet'!$B$9,Paramètres!$A$1:$I$89,3,0)*VLOOKUP('Données projet'!$B$9,Paramètres!$A$1:$I$89,5,0)</f>
        <v>1.7747143761004474</v>
      </c>
      <c r="P8" s="13">
        <f t="shared" si="33"/>
        <v>0.76503618767494097</v>
      </c>
      <c r="Q8" s="20">
        <f t="shared" si="2"/>
        <v>4.423398898575468</v>
      </c>
      <c r="R8" s="59">
        <f t="shared" si="0"/>
        <v>297.75673223190876</v>
      </c>
      <c r="S8" s="59">
        <f ca="1">AVERAGE(OFFSET($R$3,0,0,'Données projet'!$E$9+1,1))-AVERAGE(OFFSET($H$3,0,0,'Données projet'!$E$9+1,1))</f>
        <v>235.10258076192054</v>
      </c>
      <c r="T8" s="59">
        <f t="shared" si="34"/>
        <v>233.47316052603765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5.25</v>
      </c>
      <c r="AI8" s="13">
        <f>IF('Données projet'!$A$62&gt;35,AI7+AH8-AQ7,IF(A8&lt;'Données projet'!$A$62,$AF$205^A8,IF(A8='Données projet'!$A$62,'Données projet'!$B$62,AI7+AH8-AQ7)))</f>
        <v>3.2010858729436804</v>
      </c>
      <c r="AJ8" s="13">
        <f>AI8*VLOOKUP('Données projet'!$B$10,Paramètres!$A$1:$I$89,3,0)*VLOOKUP('Données projet'!$B$10,Paramètres!$A$1:$I$89,5,0)</f>
        <v>2.7964686186035994</v>
      </c>
      <c r="AK8" s="13">
        <f t="shared" si="35"/>
        <v>1.1433432096049962</v>
      </c>
      <c r="AL8" s="20">
        <f t="shared" si="4"/>
        <v>6.8618389341299704</v>
      </c>
      <c r="AM8" s="59">
        <f t="shared" si="5"/>
        <v>300.19517226746331</v>
      </c>
      <c r="AN8" s="59">
        <f ca="1">AVERAGE(OFFSET($AM$3,0,0,'Données projet'!$E$10+1,1))-AVERAGE(OFFSET($H$3,0,0,'Données projet'!$E$10+1,1))</f>
        <v>191.94797389630673</v>
      </c>
      <c r="AO8" s="59">
        <f t="shared" si="36"/>
        <v>273.52540822767878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>
        <f>VLOOKUP(A8,'Données projet'!$A$87:$I$107,2,0)</f>
        <v>5</v>
      </c>
      <c r="BB8" s="12">
        <f>VLOOKUP(A8,'Données projet'!$A$87:$I$107,9,0)</f>
        <v>1</v>
      </c>
      <c r="BC8" s="12">
        <f t="array" ref="BC8">INDEX(BB:BB,MIN(IF(ISNUMBER(BB8:BB204),ROW(BB8:BB204),"")))</f>
        <v>1</v>
      </c>
      <c r="BD8" s="12">
        <f>IF('Données projet'!$A$88&gt;35,BD7+BC8-BL7,IF(A8&lt;'Données projet'!$A$88,$BA$205^A8,IF(A8='Données projet'!$A$88,'Données projet'!$B$88,BD7+BC8-BL7)))</f>
        <v>5</v>
      </c>
      <c r="BE8" s="13">
        <f>BD8*VLOOKUP('Données projet'!$B$11,Paramètres!$A$1:$I$89,3,0)*VLOOKUP('Données projet'!$B$11,Paramètres!$A$1:$I$89,5,0)</f>
        <v>3.198</v>
      </c>
      <c r="BF8" s="13">
        <f t="shared" si="37"/>
        <v>1.2872493215552201</v>
      </c>
      <c r="BG8" s="20">
        <f t="shared" si="7"/>
        <v>7.8118092350420092</v>
      </c>
      <c r="BH8" s="59">
        <f t="shared" si="8"/>
        <v>301.14514256837532</v>
      </c>
      <c r="BI8" s="59">
        <f ca="1">AVERAGE(OFFSET($BH$3,0,0,'Données projet'!$E$11+1,1))-AVERAGE(OFFSET($H$3,0,0,'Données projet'!$E$11+1,1))</f>
        <v>64.256756080189803</v>
      </c>
      <c r="BJ8" s="59">
        <f t="shared" si="38"/>
        <v>209.76343043971747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2.1333333333333333</v>
      </c>
      <c r="N9" s="13">
        <f>IF('Données projet'!$A$36&gt;35,N8+M9-V8,IF(A9&lt;'Données projet'!$A$36,$K$205^A9,IF(A9='Données projet'!$A$36,'Données projet'!$B$36,N8+M9-V8)))</f>
        <v>4.0000000000000009</v>
      </c>
      <c r="O9" s="13">
        <f>N9*VLOOKUP('Données projet'!$B$9,Paramètres!$A$1:$I$89,3,0)*VLOOKUP('Données projet'!$B$9,Paramètres!$A$1:$I$89,5,0)</f>
        <v>2.2360000000000007</v>
      </c>
      <c r="P9" s="13">
        <f t="shared" si="33"/>
        <v>0.93830784341656326</v>
      </c>
      <c r="Q9" s="20">
        <f t="shared" si="2"/>
        <v>5.5285861606171816</v>
      </c>
      <c r="R9" s="59">
        <f t="shared" si="0"/>
        <v>298.8619194939505</v>
      </c>
      <c r="S9" s="59">
        <f ca="1">AVERAGE(OFFSET($R$3,0,0,'Données projet'!$E$9+1,1))-AVERAGE(OFFSET($H$3,0,0,'Données projet'!$E$9+1,1))</f>
        <v>235.10258076192054</v>
      </c>
      <c r="T9" s="59">
        <f t="shared" si="34"/>
        <v>233.47316052603765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5.25</v>
      </c>
      <c r="AI9" s="13">
        <f>IF('Données projet'!$A$62&gt;35,AI8+AH9-AQ8,IF(A9&lt;'Données projet'!$A$62,$AF$205^A9,IF(A9='Données projet'!$A$62,'Données projet'!$B$62,AI8+AH9-AQ8)))</f>
        <v>4.0397713952878425</v>
      </c>
      <c r="AJ9" s="13">
        <f>AI9*VLOOKUP('Données projet'!$B$10,Paramètres!$A$1:$I$89,3,0)*VLOOKUP('Données projet'!$B$10,Paramètres!$A$1:$I$89,5,0)</f>
        <v>3.5291442909234596</v>
      </c>
      <c r="AK9" s="13">
        <f t="shared" si="35"/>
        <v>1.4043415972303146</v>
      </c>
      <c r="AL9" s="20">
        <f t="shared" si="4"/>
        <v>8.5924879218678232</v>
      </c>
      <c r="AM9" s="59">
        <f t="shared" si="5"/>
        <v>301.92582125520113</v>
      </c>
      <c r="AN9" s="59">
        <f ca="1">AVERAGE(OFFSET($AM$3,0,0,'Données projet'!$E$10+1,1))-AVERAGE(OFFSET($H$3,0,0,'Données projet'!$E$10+1,1))</f>
        <v>191.94797389630673</v>
      </c>
      <c r="AO9" s="59">
        <f t="shared" si="36"/>
        <v>273.52540822767878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6.8</v>
      </c>
      <c r="BD9" s="12">
        <f>IF('Données projet'!$A$88&gt;35,BD8+BC9-BL8,IF(A9&lt;'Données projet'!$A$88,$BA$205^A9,IF(A9='Données projet'!$A$88,'Données projet'!$B$88,BD8+BC9-BL8)))</f>
        <v>11.8</v>
      </c>
      <c r="BE9" s="13">
        <f>BD9*VLOOKUP('Données projet'!$B$11,Paramètres!$A$1:$I$89,3,0)*VLOOKUP('Données projet'!$B$11,Paramètres!$A$1:$I$89,5,0)</f>
        <v>7.5472800000000007</v>
      </c>
      <c r="BF9" s="13">
        <f t="shared" si="37"/>
        <v>2.7489555498339415</v>
      </c>
      <c r="BG9" s="20">
        <f t="shared" si="7"/>
        <v>17.932610249294115</v>
      </c>
      <c r="BH9" s="59">
        <f t="shared" si="8"/>
        <v>311.26594358262741</v>
      </c>
      <c r="BI9" s="59">
        <f ca="1">AVERAGE(OFFSET($BH$3,0,0,'Données projet'!$E$11+1,1))-AVERAGE(OFFSET($H$3,0,0,'Données projet'!$E$11+1,1))</f>
        <v>64.256756080189803</v>
      </c>
      <c r="BJ9" s="59">
        <f t="shared" si="38"/>
        <v>209.76343043971747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2.1333333333333333</v>
      </c>
      <c r="N10" s="13">
        <f>IF('Données projet'!$A$36&gt;35,N9+M10-V9,IF(A10&lt;'Données projet'!$A$36,$K$205^A10,IF(A10='Données projet'!$A$36,'Données projet'!$B$36,N9+M10-V9)))</f>
        <v>5.0396841995794937</v>
      </c>
      <c r="O10" s="13">
        <f>N10*VLOOKUP('Données projet'!$B$9,Paramètres!$A$1:$I$89,3,0)*VLOOKUP('Données projet'!$B$9,Paramètres!$A$1:$I$89,5,0)</f>
        <v>2.8171834675649365</v>
      </c>
      <c r="P10" s="13">
        <f t="shared" si="33"/>
        <v>1.1508234815568323</v>
      </c>
      <c r="Q10" s="20">
        <f t="shared" si="2"/>
        <v>6.9109454363870801</v>
      </c>
      <c r="R10" s="59">
        <f t="shared" si="0"/>
        <v>300.24427876972038</v>
      </c>
      <c r="S10" s="59">
        <f ca="1">AVERAGE(OFFSET($R$3,0,0,'Données projet'!$E$9+1,1))-AVERAGE(OFFSET($H$3,0,0,'Données projet'!$E$9+1,1))</f>
        <v>235.10258076192054</v>
      </c>
      <c r="T10" s="59">
        <f t="shared" si="34"/>
        <v>233.47316052603765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5.25</v>
      </c>
      <c r="AI10" s="13">
        <f>IF('Données projet'!$A$62&gt;35,AI9+AH10-AQ9,IF(A10&lt;'Données projet'!$A$62,$AF$205^A10,IF(A10='Données projet'!$A$62,'Données projet'!$B$62,AI9+AH10-AQ9)))</f>
        <v>5.0981927926783266</v>
      </c>
      <c r="AJ10" s="13">
        <f>AI10*VLOOKUP('Données projet'!$B$10,Paramètres!$A$1:$I$89,3,0)*VLOOKUP('Données projet'!$B$10,Paramètres!$A$1:$I$89,5,0)</f>
        <v>4.4537812236837864</v>
      </c>
      <c r="AK10" s="13">
        <f t="shared" si="35"/>
        <v>1.7249197836166281</v>
      </c>
      <c r="AL10" s="20">
        <f t="shared" si="4"/>
        <v>10.761237587714888</v>
      </c>
      <c r="AM10" s="59">
        <f t="shared" si="5"/>
        <v>304.09457092104822</v>
      </c>
      <c r="AN10" s="59">
        <f ca="1">AVERAGE(OFFSET($AM$3,0,0,'Données projet'!$E$10+1,1))-AVERAGE(OFFSET($H$3,0,0,'Données projet'!$E$10+1,1))</f>
        <v>191.94797389630673</v>
      </c>
      <c r="AO10" s="59">
        <f t="shared" si="36"/>
        <v>273.52540822767878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6.8</v>
      </c>
      <c r="BD10" s="12">
        <f>IF('Données projet'!$A$88&gt;35,BD9+BC10-BL9,IF(A10&lt;'Données projet'!$A$88,$BA$205^A10,IF(A10='Données projet'!$A$88,'Données projet'!$B$88,BD9+BC10-BL9)))</f>
        <v>18.600000000000001</v>
      </c>
      <c r="BE10" s="13">
        <f>BD10*VLOOKUP('Données projet'!$B$11,Paramètres!$A$1:$I$89,3,0)*VLOOKUP('Données projet'!$B$11,Paramètres!$A$1:$I$89,5,0)</f>
        <v>11.896560000000001</v>
      </c>
      <c r="BF10" s="13">
        <f t="shared" si="37"/>
        <v>4.1095513673634985</v>
      </c>
      <c r="BG10" s="20">
        <f t="shared" si="7"/>
        <v>27.877310631491426</v>
      </c>
      <c r="BH10" s="59">
        <f t="shared" si="8"/>
        <v>321.21064396482473</v>
      </c>
      <c r="BI10" s="59">
        <f ca="1">AVERAGE(OFFSET($BH$3,0,0,'Données projet'!$E$11+1,1))-AVERAGE(OFFSET($H$3,0,0,'Données projet'!$E$11+1,1))</f>
        <v>64.256756080189803</v>
      </c>
      <c r="BJ10" s="59">
        <f t="shared" si="38"/>
        <v>209.76343043971747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2.1333333333333333</v>
      </c>
      <c r="N11" s="13">
        <f>IF('Données projet'!$A$36&gt;35,N10+M11-V10,IF(A11&lt;'Données projet'!$A$36,$K$205^A11,IF(A11='Données projet'!$A$36,'Données projet'!$B$36,N10+M11-V10)))</f>
        <v>6.3496042078728001</v>
      </c>
      <c r="O11" s="13">
        <f>N11*VLOOKUP('Données projet'!$B$9,Paramètres!$A$1:$I$89,3,0)*VLOOKUP('Données projet'!$B$9,Paramètres!$A$1:$I$89,5,0)</f>
        <v>3.5494287522008952</v>
      </c>
      <c r="P11" s="13">
        <f t="shared" si="33"/>
        <v>1.4114714003457627</v>
      </c>
      <c r="Q11" s="20">
        <f t="shared" si="2"/>
        <v>8.640234432352095</v>
      </c>
      <c r="R11" s="59">
        <f t="shared" si="0"/>
        <v>301.9735677656854</v>
      </c>
      <c r="S11" s="59">
        <f ca="1">AVERAGE(OFFSET($R$3,0,0,'Données projet'!$E$9+1,1))-AVERAGE(OFFSET($H$3,0,0,'Données projet'!$E$9+1,1))</f>
        <v>235.10258076192054</v>
      </c>
      <c r="T11" s="59">
        <f t="shared" si="34"/>
        <v>233.47316052603765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5.25</v>
      </c>
      <c r="AI11" s="13">
        <f>IF('Données projet'!$A$62&gt;35,AI10+AH11-AQ10,IF(A11&lt;'Données projet'!$A$62,$AF$205^A11,IF(A11='Données projet'!$A$62,'Données projet'!$B$62,AI10+AH11-AQ10)))</f>
        <v>6.433920934643699</v>
      </c>
      <c r="AJ11" s="13">
        <f>AI11*VLOOKUP('Données projet'!$B$10,Paramètres!$A$1:$I$89,3,0)*VLOOKUP('Données projet'!$B$10,Paramètres!$A$1:$I$89,5,0)</f>
        <v>5.6206733285047363</v>
      </c>
      <c r="AK11" s="13">
        <f t="shared" si="35"/>
        <v>2.1186784367707316</v>
      </c>
      <c r="AL11" s="20">
        <f t="shared" si="4"/>
        <v>13.479370991188105</v>
      </c>
      <c r="AM11" s="59">
        <f t="shared" si="5"/>
        <v>306.81270432452141</v>
      </c>
      <c r="AN11" s="59">
        <f ca="1">AVERAGE(OFFSET($AM$3,0,0,'Données projet'!$E$10+1,1))-AVERAGE(OFFSET($H$3,0,0,'Données projet'!$E$10+1,1))</f>
        <v>191.94797389630673</v>
      </c>
      <c r="AO11" s="59">
        <f t="shared" si="36"/>
        <v>273.52540822767878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6.8</v>
      </c>
      <c r="BD11" s="12">
        <f>IF('Données projet'!$A$88&gt;35,BD10+BC11-BL10,IF(A11&lt;'Données projet'!$A$88,$BA$205^A11,IF(A11='Données projet'!$A$88,'Données projet'!$B$88,BD10+BC11-BL10)))</f>
        <v>25.400000000000002</v>
      </c>
      <c r="BE11" s="13">
        <f>BD11*VLOOKUP('Données projet'!$B$11,Paramètres!$A$1:$I$89,3,0)*VLOOKUP('Données projet'!$B$11,Paramètres!$A$1:$I$89,5,0)</f>
        <v>16.245840000000001</v>
      </c>
      <c r="BF11" s="13">
        <f t="shared" si="37"/>
        <v>5.4120755159323606</v>
      </c>
      <c r="BG11" s="20">
        <f t="shared" si="7"/>
        <v>37.720869523582195</v>
      </c>
      <c r="BH11" s="59">
        <f t="shared" si="8"/>
        <v>331.05420285691548</v>
      </c>
      <c r="BI11" s="59">
        <f ca="1">AVERAGE(OFFSET($BH$3,0,0,'Données projet'!$E$11+1,1))-AVERAGE(OFFSET($H$3,0,0,'Données projet'!$E$11+1,1))</f>
        <v>64.256756080189803</v>
      </c>
      <c r="BJ11" s="59">
        <f t="shared" si="38"/>
        <v>209.76343043971747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2.1333333333333333</v>
      </c>
      <c r="N12" s="13">
        <f>IF('Données projet'!$A$36&gt;35,N11+M12-V11,IF(A12&lt;'Données projet'!$A$36,$K$205^A12,IF(A12='Données projet'!$A$36,'Données projet'!$B$36,N11+M12-V11)))</f>
        <v>8.0000000000000036</v>
      </c>
      <c r="O12" s="13">
        <f>N12*VLOOKUP('Données projet'!$B$9,Paramètres!$A$1:$I$89,3,0)*VLOOKUP('Données projet'!$B$9,Paramètres!$A$1:$I$89,5,0)</f>
        <v>4.4720000000000022</v>
      </c>
      <c r="P12" s="13">
        <f t="shared" si="33"/>
        <v>1.7311529925500939</v>
      </c>
      <c r="Q12" s="20">
        <f t="shared" si="2"/>
        <v>10.803824795358084</v>
      </c>
      <c r="R12" s="59">
        <f t="shared" si="0"/>
        <v>304.1371581286914</v>
      </c>
      <c r="S12" s="59">
        <f ca="1">AVERAGE(OFFSET($R$3,0,0,'Données projet'!$E$9+1,1))-AVERAGE(OFFSET($H$3,0,0,'Données projet'!$E$9+1,1))</f>
        <v>235.10258076192054</v>
      </c>
      <c r="T12" s="59">
        <f t="shared" si="34"/>
        <v>233.47316052603765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5.25</v>
      </c>
      <c r="AI12" s="13">
        <f>IF('Données projet'!$A$62&gt;35,AI11+AH12-AQ11,IF(A12&lt;'Données projet'!$A$62,$AF$205^A12,IF(A12='Données projet'!$A$62,'Données projet'!$B$62,AI11+AH12-AQ11)))</f>
        <v>8.1196102769388379</v>
      </c>
      <c r="AJ12" s="13">
        <f>AI12*VLOOKUP('Données projet'!$B$10,Paramètres!$A$1:$I$89,3,0)*VLOOKUP('Données projet'!$B$10,Paramètres!$A$1:$I$89,5,0)</f>
        <v>7.0932915379337693</v>
      </c>
      <c r="AK12" s="13">
        <f t="shared" si="35"/>
        <v>2.602322937606778</v>
      </c>
      <c r="AL12" s="20">
        <f t="shared" si="4"/>
        <v>16.886528544899786</v>
      </c>
      <c r="AM12" s="59">
        <f t="shared" si="5"/>
        <v>310.21986187823308</v>
      </c>
      <c r="AN12" s="59">
        <f ca="1">AVERAGE(OFFSET($AM$3,0,0,'Données projet'!$E$10+1,1))-AVERAGE(OFFSET($H$3,0,0,'Données projet'!$E$10+1,1))</f>
        <v>191.94797389630673</v>
      </c>
      <c r="AO12" s="59">
        <f t="shared" si="36"/>
        <v>273.52540822767878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6.8</v>
      </c>
      <c r="BD12" s="12">
        <f>IF('Données projet'!$A$88&gt;35,BD11+BC12-BL11,IF(A12&lt;'Données projet'!$A$88,$BA$205^A12,IF(A12='Données projet'!$A$88,'Données projet'!$B$88,BD11+BC12-BL11)))</f>
        <v>32.200000000000003</v>
      </c>
      <c r="BE12" s="13">
        <f>BD12*VLOOKUP('Données projet'!$B$11,Paramètres!$A$1:$I$89,3,0)*VLOOKUP('Données projet'!$B$11,Paramètres!$A$1:$I$89,5,0)</f>
        <v>20.595120000000001</v>
      </c>
      <c r="BF12" s="13">
        <f t="shared" si="37"/>
        <v>6.674123274001496</v>
      </c>
      <c r="BG12" s="20">
        <f t="shared" si="7"/>
        <v>47.493932035552604</v>
      </c>
      <c r="BH12" s="59">
        <f t="shared" si="8"/>
        <v>340.82726536888595</v>
      </c>
      <c r="BI12" s="59">
        <f ca="1">AVERAGE(OFFSET($BH$3,0,0,'Données projet'!$E$11+1,1))-AVERAGE(OFFSET($H$3,0,0,'Données projet'!$E$11+1,1))</f>
        <v>64.256756080189803</v>
      </c>
      <c r="BJ12" s="59">
        <f t="shared" si="38"/>
        <v>209.76343043971747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2.1333333333333333</v>
      </c>
      <c r="N13" s="13">
        <f>IF('Données projet'!$A$36&gt;35,N12+M13-V12,IF(A13&lt;'Données projet'!$A$36,$K$205^A13,IF(A13='Données projet'!$A$36,'Données projet'!$B$36,N12+M13-V12)))</f>
        <v>10.079368399158989</v>
      </c>
      <c r="O13" s="13">
        <f>N13*VLOOKUP('Données projet'!$B$9,Paramètres!$A$1:$I$89,3,0)*VLOOKUP('Données projet'!$B$9,Paramètres!$A$1:$I$89,5,0)</f>
        <v>5.6343669351298749</v>
      </c>
      <c r="P13" s="13">
        <f t="shared" si="33"/>
        <v>2.1232386875717131</v>
      </c>
      <c r="Q13" s="20">
        <f t="shared" si="2"/>
        <v>13.511163126205266</v>
      </c>
      <c r="R13" s="59">
        <f t="shared" si="0"/>
        <v>306.84449645953856</v>
      </c>
      <c r="S13" s="59">
        <f ca="1">AVERAGE(OFFSET($R$3,0,0,'Données projet'!$E$9+1,1))-AVERAGE(OFFSET($H$3,0,0,'Données projet'!$E$9+1,1))</f>
        <v>235.10258076192054</v>
      </c>
      <c r="T13" s="59">
        <f t="shared" si="34"/>
        <v>233.47316052603765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5.25</v>
      </c>
      <c r="AI13" s="13">
        <f>IF('Données projet'!$A$62&gt;35,AI12+AH13-AQ12,IF(A13&lt;'Données projet'!$A$62,$AF$205^A13,IF(A13='Données projet'!$A$62,'Données projet'!$B$62,AI12+AH13-AQ12)))</f>
        <v>10.246950765959603</v>
      </c>
      <c r="AJ13" s="13">
        <f>AI13*VLOOKUP('Données projet'!$B$10,Paramètres!$A$1:$I$89,3,0)*VLOOKUP('Données projet'!$B$10,Paramètres!$A$1:$I$89,5,0)</f>
        <v>8.9517361891423111</v>
      </c>
      <c r="AK13" s="13">
        <f t="shared" si="35"/>
        <v>3.1963721129461788</v>
      </c>
      <c r="AL13" s="20">
        <f t="shared" si="4"/>
        <v>21.157955292804118</v>
      </c>
      <c r="AM13" s="59">
        <f t="shared" si="5"/>
        <v>314.49128862613742</v>
      </c>
      <c r="AN13" s="59">
        <f ca="1">AVERAGE(OFFSET($AM$3,0,0,'Données projet'!$E$10+1,1))-AVERAGE(OFFSET($H$3,0,0,'Données projet'!$E$10+1,1))</f>
        <v>191.94797389630673</v>
      </c>
      <c r="AO13" s="59">
        <f t="shared" si="36"/>
        <v>273.52540822767878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39</v>
      </c>
      <c r="BB13" s="12">
        <f>VLOOKUP(A13,'Données projet'!$A$87:$I$107,9,0)</f>
        <v>6.8</v>
      </c>
      <c r="BC13" s="12">
        <f t="array" ref="BC13">INDEX(BB:BB,MIN(IF(ISNUMBER(BB13:BB209),ROW(BB13:BB209),"")))</f>
        <v>6.8</v>
      </c>
      <c r="BD13" s="12">
        <f>IF('Données projet'!$A$88&gt;35,BD12+BC13-BL12,IF(A13&lt;'Données projet'!$A$88,$BA$205^A13,IF(A13='Données projet'!$A$88,'Données projet'!$B$88,BD12+BC13-BL12)))</f>
        <v>39</v>
      </c>
      <c r="BE13" s="13">
        <f>BD13*VLOOKUP('Données projet'!$B$11,Paramètres!$A$1:$I$89,3,0)*VLOOKUP('Données projet'!$B$11,Paramètres!$A$1:$I$89,5,0)</f>
        <v>24.944399999999998</v>
      </c>
      <c r="BF13" s="13">
        <f t="shared" si="37"/>
        <v>7.905283741835663</v>
      </c>
      <c r="BG13" s="20">
        <f t="shared" si="7"/>
        <v>57.213199183697107</v>
      </c>
      <c r="BH13" s="59">
        <f t="shared" si="8"/>
        <v>350.54653251703041</v>
      </c>
      <c r="BI13" s="59">
        <f ca="1">AVERAGE(OFFSET($BH$3,0,0,'Données projet'!$E$11+1,1))-AVERAGE(OFFSET($H$3,0,0,'Données projet'!$E$11+1,1))</f>
        <v>64.256756080189803</v>
      </c>
      <c r="BJ13" s="59">
        <f t="shared" si="38"/>
        <v>209.76343043971747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2.1333333333333333</v>
      </c>
      <c r="N14" s="13">
        <f>IF('Données projet'!$A$36&gt;35,N13+M14-V13,IF(A14&lt;'Données projet'!$A$36,$K$205^A14,IF(A14='Données projet'!$A$36,'Données projet'!$B$36,N13+M14-V13)))</f>
        <v>12.6992084157456</v>
      </c>
      <c r="O14" s="13">
        <f>N14*VLOOKUP('Données projet'!$B$9,Paramètres!$A$1:$I$89,3,0)*VLOOKUP('Données projet'!$B$9,Paramètres!$A$1:$I$89,5,0)</f>
        <v>7.0988575044017903</v>
      </c>
      <c r="P14" s="13">
        <f t="shared" si="33"/>
        <v>2.6041271590678314</v>
      </c>
      <c r="Q14" s="20">
        <f t="shared" si="2"/>
        <v>16.899364955542922</v>
      </c>
      <c r="R14" s="59">
        <f t="shared" si="0"/>
        <v>310.23269828887624</v>
      </c>
      <c r="S14" s="59">
        <f ca="1">AVERAGE(OFFSET($R$3,0,0,'Données projet'!$E$9+1,1))-AVERAGE(OFFSET($H$3,0,0,'Données projet'!$E$9+1,1))</f>
        <v>235.10258076192054</v>
      </c>
      <c r="T14" s="59">
        <f t="shared" si="34"/>
        <v>233.47316052603765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5.25</v>
      </c>
      <c r="AI14" s="13">
        <f>IF('Données projet'!$A$62&gt;35,AI13+AH14-AQ13,IF(A14&lt;'Données projet'!$A$62,$AF$205^A14,IF(A14='Données projet'!$A$62,'Données projet'!$B$62,AI13+AH14-AQ13)))</f>
        <v>12.93165514337789</v>
      </c>
      <c r="AJ14" s="13">
        <f>AI14*VLOOKUP('Données projet'!$B$10,Paramètres!$A$1:$I$89,3,0)*VLOOKUP('Données projet'!$B$10,Paramètres!$A$1:$I$89,5,0)</f>
        <v>11.297093933254926</v>
      </c>
      <c r="AK14" s="13">
        <f t="shared" si="35"/>
        <v>3.9260287556070481</v>
      </c>
      <c r="AL14" s="20">
        <f t="shared" si="4"/>
        <v>26.513605349767932</v>
      </c>
      <c r="AM14" s="59">
        <f t="shared" si="5"/>
        <v>319.84693868310126</v>
      </c>
      <c r="AN14" s="59">
        <f ca="1">AVERAGE(OFFSET($AM$3,0,0,'Données projet'!$E$10+1,1))-AVERAGE(OFFSET($H$3,0,0,'Données projet'!$E$10+1,1))</f>
        <v>191.94797389630673</v>
      </c>
      <c r="AO14" s="59">
        <f t="shared" si="36"/>
        <v>273.52540822767878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</v>
      </c>
      <c r="BD14" s="12">
        <f>IF('Données projet'!$A$88&gt;35,BD13+BC14-BL13,IF(A14&lt;'Données projet'!$A$88,$BA$205^A14,IF(A14='Données projet'!$A$88,'Données projet'!$B$88,BD13+BC14-BL13)))</f>
        <v>51</v>
      </c>
      <c r="BE14" s="13">
        <f>BD14*VLOOKUP('Données projet'!$B$11,Paramètres!$A$1:$I$89,3,0)*VLOOKUP('Données projet'!$B$11,Paramètres!$A$1:$I$89,5,0)</f>
        <v>32.619599999999998</v>
      </c>
      <c r="BF14" s="13">
        <f t="shared" si="37"/>
        <v>10.019862996333934</v>
      </c>
      <c r="BG14" s="20">
        <f t="shared" si="7"/>
        <v>74.263731385281588</v>
      </c>
      <c r="BH14" s="59">
        <f t="shared" si="8"/>
        <v>367.59706471861489</v>
      </c>
      <c r="BI14" s="59">
        <f ca="1">AVERAGE(OFFSET($BH$3,0,0,'Données projet'!$E$11+1,1))-AVERAGE(OFFSET($H$3,0,0,'Données projet'!$E$11+1,1))</f>
        <v>64.256756080189803</v>
      </c>
      <c r="BJ14" s="59">
        <f t="shared" si="38"/>
        <v>209.76343043971747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2.1333333333333333</v>
      </c>
      <c r="N15" s="13">
        <f>IF('Données projet'!$A$36&gt;35,N14+M15-V14,IF(A15&lt;'Données projet'!$A$36,$K$205^A15,IF(A15='Données projet'!$A$36,'Données projet'!$B$36,N14+M15-V14)))</f>
        <v>16.000000000000007</v>
      </c>
      <c r="O15" s="13">
        <f>N15*VLOOKUP('Données projet'!$B$9,Paramètres!$A$1:$I$89,3,0)*VLOOKUP('Données projet'!$B$9,Paramètres!$A$1:$I$89,5,0)</f>
        <v>8.9440000000000044</v>
      </c>
      <c r="P15" s="13">
        <f t="shared" si="33"/>
        <v>3.1939311864887299</v>
      </c>
      <c r="Q15" s="20">
        <f t="shared" si="2"/>
        <v>21.140230149801212</v>
      </c>
      <c r="R15" s="59">
        <f t="shared" si="0"/>
        <v>314.47356348313451</v>
      </c>
      <c r="S15" s="59">
        <f ca="1">AVERAGE(OFFSET($R$3,0,0,'Données projet'!$E$9+1,1))-AVERAGE(OFFSET($H$3,0,0,'Données projet'!$E$9+1,1))</f>
        <v>235.10258076192054</v>
      </c>
      <c r="T15" s="59">
        <f t="shared" si="34"/>
        <v>233.47316052603765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5.25</v>
      </c>
      <c r="AI15" s="13">
        <f>IF('Données projet'!$A$62&gt;35,AI14+AH15-AQ14,IF(A15&lt;'Données projet'!$A$62,$AF$205^A15,IF(A15='Données projet'!$A$62,'Données projet'!$B$62,AI14+AH15-AQ14)))</f>
        <v>16.319752926185881</v>
      </c>
      <c r="AJ15" s="13">
        <f>AI15*VLOOKUP('Données projet'!$B$10,Paramètres!$A$1:$I$89,3,0)*VLOOKUP('Données projet'!$B$10,Paramètres!$A$1:$I$89,5,0)</f>
        <v>14.256936156315987</v>
      </c>
      <c r="AK15" s="13">
        <f t="shared" si="35"/>
        <v>4.822248863773944</v>
      </c>
      <c r="AL15" s="20">
        <f t="shared" si="4"/>
        <v>33.229580576656623</v>
      </c>
      <c r="AM15" s="59">
        <f t="shared" si="5"/>
        <v>326.56291390998996</v>
      </c>
      <c r="AN15" s="59">
        <f ca="1">AVERAGE(OFFSET($AM$3,0,0,'Données projet'!$E$10+1,1))-AVERAGE(OFFSET($H$3,0,0,'Données projet'!$E$10+1,1))</f>
        <v>191.94797389630673</v>
      </c>
      <c r="AO15" s="59">
        <f t="shared" si="36"/>
        <v>273.52540822767878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</v>
      </c>
      <c r="BD15" s="12">
        <f>IF('Données projet'!$A$88&gt;35,BD14+BC15-BL14,IF(A15&lt;'Données projet'!$A$88,$BA$205^A15,IF(A15='Données projet'!$A$88,'Données projet'!$B$88,BD14+BC15-BL14)))</f>
        <v>63</v>
      </c>
      <c r="BE15" s="13">
        <f>BD15*VLOOKUP('Données projet'!$B$11,Paramètres!$A$1:$I$89,3,0)*VLOOKUP('Données projet'!$B$11,Paramètres!$A$1:$I$89,5,0)</f>
        <v>40.294800000000002</v>
      </c>
      <c r="BF15" s="13">
        <f t="shared" si="37"/>
        <v>12.076750255219567</v>
      </c>
      <c r="BG15" s="20">
        <f t="shared" si="7"/>
        <v>91.21378336117408</v>
      </c>
      <c r="BH15" s="59">
        <f t="shared" si="8"/>
        <v>384.54711669450739</v>
      </c>
      <c r="BI15" s="59">
        <f ca="1">AVERAGE(OFFSET($BH$3,0,0,'Données projet'!$E$11+1,1))-AVERAGE(OFFSET($H$3,0,0,'Données projet'!$E$11+1,1))</f>
        <v>64.256756080189803</v>
      </c>
      <c r="BJ15" s="59">
        <f t="shared" si="38"/>
        <v>209.76343043971747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2.1333333333333333</v>
      </c>
      <c r="N16" s="13">
        <f>IF('Données projet'!$A$36&gt;35,N15+M16-V15,IF(A16&lt;'Données projet'!$A$36,$K$205^A16,IF(A16='Données projet'!$A$36,'Données projet'!$B$36,N15+M16-V15)))</f>
        <v>20.158736798317982</v>
      </c>
      <c r="O16" s="13">
        <f>N16*VLOOKUP('Données projet'!$B$9,Paramètres!$A$1:$I$89,3,0)*VLOOKUP('Données projet'!$B$9,Paramètres!$A$1:$I$89,5,0)</f>
        <v>11.268733870259751</v>
      </c>
      <c r="P16" s="13">
        <f t="shared" si="33"/>
        <v>3.9173188561486798</v>
      </c>
      <c r="Q16" s="20">
        <f t="shared" si="2"/>
        <v>26.449041831828016</v>
      </c>
      <c r="R16" s="59">
        <f t="shared" si="0"/>
        <v>319.78237516516134</v>
      </c>
      <c r="S16" s="59">
        <f ca="1">AVERAGE(OFFSET($R$3,0,0,'Données projet'!$E$9+1,1))-AVERAGE(OFFSET($H$3,0,0,'Données projet'!$E$9+1,1))</f>
        <v>235.10258076192054</v>
      </c>
      <c r="T16" s="59">
        <f t="shared" si="34"/>
        <v>233.47316052603765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5.25</v>
      </c>
      <c r="AI16" s="13">
        <f>IF('Données projet'!$A$62&gt;35,AI15+AH16-AQ15,IF(A16&lt;'Données projet'!$A$62,$AF$205^A16,IF(A16='Données projet'!$A$62,'Données projet'!$B$62,AI15+AH16-AQ15)))</f>
        <v>20.595533411524546</v>
      </c>
      <c r="AJ16" s="13">
        <f>AI16*VLOOKUP('Données projet'!$B$10,Paramètres!$A$1:$I$89,3,0)*VLOOKUP('Données projet'!$B$10,Paramètres!$A$1:$I$89,5,0)</f>
        <v>17.992257988307845</v>
      </c>
      <c r="AK16" s="13">
        <f t="shared" si="35"/>
        <v>5.9230549625899274</v>
      </c>
      <c r="AL16" s="20">
        <f t="shared" si="4"/>
        <v>41.65250338948028</v>
      </c>
      <c r="AM16" s="59">
        <f t="shared" si="5"/>
        <v>334.98583672281359</v>
      </c>
      <c r="AN16" s="59">
        <f ca="1">AVERAGE(OFFSET($AM$3,0,0,'Données projet'!$E$10+1,1))-AVERAGE(OFFSET($H$3,0,0,'Données projet'!$E$10+1,1))</f>
        <v>191.94797389630673</v>
      </c>
      <c r="AO16" s="59">
        <f t="shared" si="36"/>
        <v>273.52540822767878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</v>
      </c>
      <c r="BD16" s="12">
        <f>IF('Données projet'!$A$88&gt;35,BD15+BC16-BL15,IF(A16&lt;'Données projet'!$A$88,$BA$205^A16,IF(A16='Données projet'!$A$88,'Données projet'!$B$88,BD15+BC16-BL15)))</f>
        <v>75</v>
      </c>
      <c r="BE16" s="13">
        <f>BD16*VLOOKUP('Données projet'!$B$11,Paramètres!$A$1:$I$89,3,0)*VLOOKUP('Données projet'!$B$11,Paramètres!$A$1:$I$89,5,0)</f>
        <v>47.97</v>
      </c>
      <c r="BF16" s="13">
        <f t="shared" si="37"/>
        <v>14.088245406563479</v>
      </c>
      <c r="BG16" s="20">
        <f t="shared" si="7"/>
        <v>108.08477741643139</v>
      </c>
      <c r="BH16" s="59">
        <f t="shared" si="8"/>
        <v>401.41811074976471</v>
      </c>
      <c r="BI16" s="59">
        <f ca="1">AVERAGE(OFFSET($BH$3,0,0,'Données projet'!$E$11+1,1))-AVERAGE(OFFSET($H$3,0,0,'Données projet'!$E$11+1,1))</f>
        <v>64.256756080189803</v>
      </c>
      <c r="BJ16" s="59">
        <f t="shared" si="38"/>
        <v>209.76343043971747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2.1333333333333333</v>
      </c>
      <c r="N17" s="13">
        <f>IF('Données projet'!$A$36&gt;35,N16+M17-V16,IF(A17&lt;'Données projet'!$A$36,$K$205^A17,IF(A17='Données projet'!$A$36,'Données projet'!$B$36,N16+M17-V16)))</f>
        <v>25.398416831491208</v>
      </c>
      <c r="O17" s="13">
        <f>N17*VLOOKUP('Données projet'!$B$9,Paramètres!$A$1:$I$89,3,0)*VLOOKUP('Données projet'!$B$9,Paramètres!$A$1:$I$89,5,0)</f>
        <v>14.197715008803586</v>
      </c>
      <c r="P17" s="13">
        <f t="shared" si="33"/>
        <v>4.804545284398583</v>
      </c>
      <c r="Q17" s="20">
        <f t="shared" si="2"/>
        <v>33.09560334399378</v>
      </c>
      <c r="R17" s="59">
        <f t="shared" si="0"/>
        <v>326.4289366773271</v>
      </c>
      <c r="S17" s="59">
        <f ca="1">AVERAGE(OFFSET($R$3,0,0,'Données projet'!$E$9+1,1))-AVERAGE(OFFSET($H$3,0,0,'Données projet'!$E$9+1,1))</f>
        <v>235.10258076192054</v>
      </c>
      <c r="T17" s="59">
        <f t="shared" si="34"/>
        <v>233.47316052603765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5.25</v>
      </c>
      <c r="AI17" s="13">
        <f>IF('Données projet'!$A$62&gt;35,AI16+AH17-AQ16,IF(A17&lt;'Données projet'!$A$62,$AF$205^A17,IF(A17='Données projet'!$A$62,'Données projet'!$B$62,AI16+AH17-AQ16)))</f>
        <v>25.991569751317236</v>
      </c>
      <c r="AJ17" s="13">
        <f>AI17*VLOOKUP('Données projet'!$B$10,Paramètres!$A$1:$I$89,3,0)*VLOOKUP('Données projet'!$B$10,Paramètres!$A$1:$I$89,5,0)</f>
        <v>22.70623533475074</v>
      </c>
      <c r="AK17" s="13">
        <f t="shared" si="35"/>
        <v>7.2751492262067101</v>
      </c>
      <c r="AL17" s="20">
        <f t="shared" si="4"/>
        <v>52.217578110334223</v>
      </c>
      <c r="AM17" s="59">
        <f t="shared" si="5"/>
        <v>345.55091144366753</v>
      </c>
      <c r="AN17" s="59">
        <f ca="1">AVERAGE(OFFSET($AM$3,0,0,'Données projet'!$E$10+1,1))-AVERAGE(OFFSET($H$3,0,0,'Données projet'!$E$10+1,1))</f>
        <v>191.94797389630673</v>
      </c>
      <c r="AO17" s="59">
        <f t="shared" si="36"/>
        <v>273.52540822767878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</v>
      </c>
      <c r="BD17" s="12">
        <f>IF('Données projet'!$A$88&gt;35,BD16+BC17-BL16,IF(A17&lt;'Données projet'!$A$88,$BA$205^A17,IF(A17='Données projet'!$A$88,'Données projet'!$B$88,BD16+BC17-BL16)))</f>
        <v>87</v>
      </c>
      <c r="BE17" s="13">
        <f>BD17*VLOOKUP('Données projet'!$B$11,Paramètres!$A$1:$I$89,3,0)*VLOOKUP('Données projet'!$B$11,Paramètres!$A$1:$I$89,5,0)</f>
        <v>55.645199999999996</v>
      </c>
      <c r="BF17" s="13">
        <f t="shared" si="37"/>
        <v>16.062457345368511</v>
      </c>
      <c r="BG17" s="20">
        <f t="shared" si="7"/>
        <v>124.89083654318348</v>
      </c>
      <c r="BH17" s="59">
        <f t="shared" si="8"/>
        <v>418.22416987651678</v>
      </c>
      <c r="BI17" s="59">
        <f ca="1">AVERAGE(OFFSET($BH$3,0,0,'Données projet'!$E$11+1,1))-AVERAGE(OFFSET($H$3,0,0,'Données projet'!$E$11+1,1))</f>
        <v>64.256756080189803</v>
      </c>
      <c r="BJ17" s="59">
        <f t="shared" si="38"/>
        <v>209.76343043971747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32</v>
      </c>
      <c r="L18" s="12">
        <f>VLOOKUP(A18,'Données projet'!$A$35:$I$55,9,0)</f>
        <v>2.1333333333333333</v>
      </c>
      <c r="M18" s="12">
        <f t="array" ref="M18">INDEX(L:L,MIN(IF(ISNUMBER(L18:L214),ROW(L18:L214),"")))</f>
        <v>2.1333333333333333</v>
      </c>
      <c r="N18" s="13">
        <f>IF('Données projet'!$A$36&gt;35,N17+M18-V17,IF(A18&lt;'Données projet'!$A$36,$K$205^A18,IF(A18='Données projet'!$A$36,'Données projet'!$B$36,N17+M18-V17)))</f>
        <v>32</v>
      </c>
      <c r="O18" s="13">
        <f>N18*VLOOKUP('Données projet'!$B$9,Paramètres!$A$1:$I$89,3,0)*VLOOKUP('Données projet'!$B$9,Paramètres!$A$1:$I$89,5,0)</f>
        <v>17.888000000000002</v>
      </c>
      <c r="P18" s="13">
        <f t="shared" si="33"/>
        <v>5.8927180139048936</v>
      </c>
      <c r="Q18" s="20">
        <f t="shared" si="2"/>
        <v>41.418083874217693</v>
      </c>
      <c r="R18" s="59">
        <f t="shared" si="0"/>
        <v>334.75141720755101</v>
      </c>
      <c r="S18" s="59">
        <f ca="1">AVERAGE(OFFSET($R$3,0,0,'Données projet'!$E$9+1,1))-AVERAGE(OFFSET($H$3,0,0,'Données projet'!$E$9+1,1))</f>
        <v>235.10258076192054</v>
      </c>
      <c r="T18" s="59">
        <f t="shared" si="34"/>
        <v>233.47316052603765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5.25</v>
      </c>
      <c r="AI18" s="13">
        <f>IF('Données projet'!$A$62&gt;35,AI17+AH18-AQ17,IF(A18&lt;'Données projet'!$A$62,$AF$205^A18,IF(A18='Données projet'!$A$62,'Données projet'!$B$62,AI17+AH18-AQ17)))</f>
        <v>32.801369337662706</v>
      </c>
      <c r="AJ18" s="13">
        <f>AI18*VLOOKUP('Données projet'!$B$10,Paramètres!$A$1:$I$89,3,0)*VLOOKUP('Données projet'!$B$10,Paramètres!$A$1:$I$89,5,0)</f>
        <v>28.655276253382144</v>
      </c>
      <c r="AK18" s="13">
        <f t="shared" si="35"/>
        <v>8.9358948376924587</v>
      </c>
      <c r="AL18" s="20">
        <f t="shared" si="4"/>
        <v>65.471289650288256</v>
      </c>
      <c r="AM18" s="59">
        <f t="shared" si="5"/>
        <v>358.80462298362158</v>
      </c>
      <c r="AN18" s="59">
        <f ca="1">AVERAGE(OFFSET($AM$3,0,0,'Données projet'!$E$10+1,1))-AVERAGE(OFFSET($H$3,0,0,'Données projet'!$E$10+1,1))</f>
        <v>191.94797389630673</v>
      </c>
      <c r="AO18" s="59">
        <f t="shared" si="36"/>
        <v>273.52540822767878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99</v>
      </c>
      <c r="BB18" s="12">
        <f>VLOOKUP(A18,'Données projet'!$A$87:$I$107,9,0)</f>
        <v>12</v>
      </c>
      <c r="BC18" s="12">
        <f t="array" ref="BC18">INDEX(BB:BB,MIN(IF(ISNUMBER(BB18:BB214),ROW(BB18:BB214),"")))</f>
        <v>12</v>
      </c>
      <c r="BD18" s="12">
        <f>IF('Données projet'!$A$88&gt;35,BD17+BC18-BL17,IF(A18&lt;'Données projet'!$A$88,$BA$205^A18,IF(A18='Données projet'!$A$88,'Données projet'!$B$88,BD17+BC18-BL17)))</f>
        <v>99</v>
      </c>
      <c r="BE18" s="13">
        <f>BD18*VLOOKUP('Données projet'!$B$11,Paramètres!$A$1:$I$89,3,0)*VLOOKUP('Données projet'!$B$11,Paramètres!$A$1:$I$89,5,0)</f>
        <v>63.320399999999999</v>
      </c>
      <c r="BF18" s="13">
        <f t="shared" si="37"/>
        <v>18.005120560903215</v>
      </c>
      <c r="BG18" s="20">
        <f t="shared" si="7"/>
        <v>141.64194831023977</v>
      </c>
      <c r="BH18" s="59">
        <f t="shared" si="8"/>
        <v>434.97528164357311</v>
      </c>
      <c r="BI18" s="59">
        <f ca="1">AVERAGE(OFFSET($BH$3,0,0,'Données projet'!$E$11+1,1))-AVERAGE(OFFSET($H$3,0,0,'Données projet'!$E$11+1,1))</f>
        <v>64.256756080189803</v>
      </c>
      <c r="BJ18" s="59">
        <f t="shared" si="38"/>
        <v>209.76343043971747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44.6</v>
      </c>
      <c r="O19" s="13">
        <f>N19*VLOOKUP('Données projet'!$B$9,Paramètres!$A$1:$I$89,3,0)*VLOOKUP('Données projet'!$B$9,Paramètres!$A$1:$I$89,5,0)</f>
        <v>24.931400000000004</v>
      </c>
      <c r="P19" s="13">
        <f t="shared" si="33"/>
        <v>7.9016432787212629</v>
      </c>
      <c r="Q19" s="20">
        <f t="shared" si="2"/>
        <v>57.184217043772861</v>
      </c>
      <c r="R19" s="59">
        <f t="shared" si="0"/>
        <v>350.5175503771062</v>
      </c>
      <c r="S19" s="59">
        <f ca="1">AVERAGE(OFFSET($R$3,0,0,'Données projet'!$E$9+1,1))-AVERAGE(OFFSET($H$3,0,0,'Données projet'!$E$9+1,1))</f>
        <v>235.10258076192054</v>
      </c>
      <c r="T19" s="59">
        <f t="shared" si="34"/>
        <v>233.47316052603765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5.25</v>
      </c>
      <c r="AI19" s="13">
        <f>IF('Données projet'!$A$62&gt;35,AI18+AH19-AQ18,IF(A19&lt;'Données projet'!$A$62,$AF$205^A19,IF(A19='Données projet'!$A$62,'Données projet'!$B$62,AI18+AH19-AQ18)))</f>
        <v>41.39533859324645</v>
      </c>
      <c r="AJ19" s="13">
        <f>AI19*VLOOKUP('Données projet'!$B$10,Paramètres!$A$1:$I$89,3,0)*VLOOKUP('Données projet'!$B$10,Paramètres!$A$1:$I$89,5,0)</f>
        <v>36.162967795060098</v>
      </c>
      <c r="AK19" s="13">
        <f t="shared" si="35"/>
        <v>10.975749646847175</v>
      </c>
      <c r="AL19" s="20">
        <f t="shared" si="4"/>
        <v>82.099932877988508</v>
      </c>
      <c r="AM19" s="59">
        <f t="shared" si="5"/>
        <v>375.43326621132184</v>
      </c>
      <c r="AN19" s="59">
        <f ca="1">AVERAGE(OFFSET($AM$3,0,0,'Données projet'!$E$10+1,1))-AVERAGE(OFFSET($H$3,0,0,'Données projet'!$E$10+1,1))</f>
        <v>191.94797389630673</v>
      </c>
      <c r="AO19" s="59">
        <f t="shared" si="36"/>
        <v>273.52540822767878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15.8</v>
      </c>
      <c r="BD19" s="12">
        <f>IF('Données projet'!$A$88&gt;35,BD18+BC19-BL18,IF(A19&lt;'Données projet'!$A$88,$BA$205^A19,IF(A19='Données projet'!$A$88,'Données projet'!$B$88,BD18+BC19-BL18)))</f>
        <v>114.8</v>
      </c>
      <c r="BE19" s="13">
        <f>BD19*VLOOKUP('Données projet'!$B$11,Paramètres!$A$1:$I$89,3,0)*VLOOKUP('Données projet'!$B$11,Paramètres!$A$1:$I$89,5,0)</f>
        <v>73.426079999999999</v>
      </c>
      <c r="BF19" s="13">
        <f t="shared" si="37"/>
        <v>20.521893433402013</v>
      </c>
      <c r="BG19" s="20">
        <f t="shared" si="7"/>
        <v>163.62605372984183</v>
      </c>
      <c r="BH19" s="59">
        <f t="shared" si="8"/>
        <v>456.95938706317514</v>
      </c>
      <c r="BI19" s="59">
        <f ca="1">AVERAGE(OFFSET($BH$3,0,0,'Données projet'!$E$11+1,1))-AVERAGE(OFFSET($H$3,0,0,'Données projet'!$E$11+1,1))</f>
        <v>64.256756080189803</v>
      </c>
      <c r="BJ19" s="59">
        <f t="shared" si="38"/>
        <v>209.76343043971747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57.2</v>
      </c>
      <c r="O20" s="13">
        <f>N20*VLOOKUP('Données projet'!$B$9,Paramètres!$A$1:$I$89,3,0)*VLOOKUP('Données projet'!$B$9,Paramètres!$A$1:$I$89,5,0)</f>
        <v>31.974800000000002</v>
      </c>
      <c r="P20" s="13">
        <f t="shared" si="33"/>
        <v>9.8446497456819966</v>
      </c>
      <c r="Q20" s="20">
        <f t="shared" si="2"/>
        <v>72.835541640396144</v>
      </c>
      <c r="R20" s="59">
        <f t="shared" si="0"/>
        <v>366.16887497372943</v>
      </c>
      <c r="S20" s="59">
        <f ca="1">AVERAGE(OFFSET($R$3,0,0,'Données projet'!$E$9+1,1))-AVERAGE(OFFSET($H$3,0,0,'Données projet'!$E$9+1,1))</f>
        <v>235.10258076192054</v>
      </c>
      <c r="T20" s="59">
        <f t="shared" si="34"/>
        <v>233.47316052603765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5.25</v>
      </c>
      <c r="AI20" s="13">
        <f>IF('Données projet'!$A$62&gt;35,AI19+AH20-AQ19,IF(A20&lt;'Données projet'!$A$62,$AF$205^A20,IF(A20='Données projet'!$A$62,'Données projet'!$B$62,AI19+AH20-AQ19)))</f>
        <v>52.240930541944905</v>
      </c>
      <c r="AJ20" s="13">
        <f>AI20*VLOOKUP('Données projet'!$B$10,Paramètres!$A$1:$I$89,3,0)*VLOOKUP('Données projet'!$B$10,Paramètres!$A$1:$I$89,5,0)</f>
        <v>45.637676921443074</v>
      </c>
      <c r="AK20" s="13">
        <f t="shared" si="35"/>
        <v>13.481255374909317</v>
      </c>
      <c r="AL20" s="20">
        <f t="shared" si="4"/>
        <v>102.96547374948041</v>
      </c>
      <c r="AM20" s="59">
        <f t="shared" si="5"/>
        <v>396.29880708281371</v>
      </c>
      <c r="AN20" s="59">
        <f ca="1">AVERAGE(OFFSET($AM$3,0,0,'Données projet'!$E$10+1,1))-AVERAGE(OFFSET($H$3,0,0,'Données projet'!$E$10+1,1))</f>
        <v>191.94797389630673</v>
      </c>
      <c r="AO20" s="59">
        <f t="shared" si="36"/>
        <v>273.52540822767878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15.8</v>
      </c>
      <c r="BD20" s="12">
        <f>IF('Données projet'!$A$88&gt;35,BD19+BC20-BL19,IF(A20&lt;'Données projet'!$A$88,$BA$205^A20,IF(A20='Données projet'!$A$88,'Données projet'!$B$88,BD19+BC20-BL19)))</f>
        <v>130.6</v>
      </c>
      <c r="BE20" s="13">
        <f>BD20*VLOOKUP('Données projet'!$B$11,Paramètres!$A$1:$I$89,3,0)*VLOOKUP('Données projet'!$B$11,Paramètres!$A$1:$I$89,5,0)</f>
        <v>83.531759999999991</v>
      </c>
      <c r="BF20" s="13">
        <f t="shared" si="37"/>
        <v>22.998534706102284</v>
      </c>
      <c r="BG20" s="20">
        <f t="shared" si="7"/>
        <v>185.54026327979477</v>
      </c>
      <c r="BH20" s="59">
        <f t="shared" si="8"/>
        <v>478.87359661312809</v>
      </c>
      <c r="BI20" s="59">
        <f ca="1">AVERAGE(OFFSET($BH$3,0,0,'Données projet'!$E$11+1,1))-AVERAGE(OFFSET($H$3,0,0,'Données projet'!$E$11+1,1))</f>
        <v>64.256756080189803</v>
      </c>
      <c r="BJ20" s="59">
        <f t="shared" si="38"/>
        <v>209.76343043971747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69.8</v>
      </c>
      <c r="O21" s="13">
        <f>N21*VLOOKUP('Données projet'!$B$9,Paramètres!$A$1:$I$89,3,0)*VLOOKUP('Données projet'!$B$9,Paramètres!$A$1:$I$89,5,0)</f>
        <v>39.0182</v>
      </c>
      <c r="P21" s="13">
        <f t="shared" si="33"/>
        <v>11.738045530221873</v>
      </c>
      <c r="Q21" s="20">
        <f t="shared" si="2"/>
        <v>88.400460965136418</v>
      </c>
      <c r="R21" s="59">
        <f t="shared" si="0"/>
        <v>381.73379429846972</v>
      </c>
      <c r="S21" s="59">
        <f ca="1">AVERAGE(OFFSET($R$3,0,0,'Données projet'!$E$9+1,1))-AVERAGE(OFFSET($H$3,0,0,'Données projet'!$E$9+1,1))</f>
        <v>235.10258076192054</v>
      </c>
      <c r="T21" s="59">
        <f t="shared" si="34"/>
        <v>233.47316052603765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5.25</v>
      </c>
      <c r="AI21" s="13">
        <f>IF('Données projet'!$A$62&gt;35,AI20+AH21-AQ20,IF(A21&lt;'Données projet'!$A$62,$AF$205^A21,IF(A21='Données projet'!$A$62,'Données projet'!$B$62,AI20+AH21-AQ20)))</f>
        <v>65.928071049370772</v>
      </c>
      <c r="AJ21" s="13">
        <f>AI21*VLOOKUP('Données projet'!$B$10,Paramètres!$A$1:$I$89,3,0)*VLOOKUP('Données projet'!$B$10,Paramètres!$A$1:$I$89,5,0)</f>
        <v>57.594762868730314</v>
      </c>
      <c r="AK21" s="13">
        <f t="shared" si="35"/>
        <v>16.558709184454482</v>
      </c>
      <c r="AL21" s="20">
        <f t="shared" si="4"/>
        <v>129.1506304926302</v>
      </c>
      <c r="AM21" s="59">
        <f t="shared" si="5"/>
        <v>422.48396382596354</v>
      </c>
      <c r="AN21" s="59">
        <f ca="1">AVERAGE(OFFSET($AM$3,0,0,'Données projet'!$E$10+1,1))-AVERAGE(OFFSET($H$3,0,0,'Données projet'!$E$10+1,1))</f>
        <v>191.94797389630673</v>
      </c>
      <c r="AO21" s="59">
        <f t="shared" si="36"/>
        <v>273.52540822767878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15.8</v>
      </c>
      <c r="BD21" s="12">
        <f>IF('Données projet'!$A$88&gt;35,BD20+BC21-BL20,IF(A21&lt;'Données projet'!$A$88,$BA$205^A21,IF(A21='Données projet'!$A$88,'Données projet'!$B$88,BD20+BC21-BL20)))</f>
        <v>146.4</v>
      </c>
      <c r="BE21" s="13">
        <f>BD21*VLOOKUP('Données projet'!$B$11,Paramètres!$A$1:$I$89,3,0)*VLOOKUP('Données projet'!$B$11,Paramètres!$A$1:$I$89,5,0)</f>
        <v>93.637439999999998</v>
      </c>
      <c r="BF21" s="13">
        <f t="shared" si="37"/>
        <v>25.440454812880304</v>
      </c>
      <c r="BG21" s="20">
        <f t="shared" si="7"/>
        <v>207.39400013243321</v>
      </c>
      <c r="BH21" s="59">
        <f t="shared" si="8"/>
        <v>500.72733346576649</v>
      </c>
      <c r="BI21" s="59">
        <f ca="1">AVERAGE(OFFSET($BH$3,0,0,'Données projet'!$E$11+1,1))-AVERAGE(OFFSET($H$3,0,0,'Données projet'!$E$11+1,1))</f>
        <v>64.256756080189803</v>
      </c>
      <c r="BJ21" s="59">
        <f t="shared" si="38"/>
        <v>209.76343043971747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82.399999999999991</v>
      </c>
      <c r="O22" s="13">
        <f>N22*VLOOKUP('Données projet'!$B$9,Paramètres!$A$1:$I$89,3,0)*VLOOKUP('Données projet'!$B$9,Paramètres!$A$1:$I$89,5,0)</f>
        <v>46.061599999999999</v>
      </c>
      <c r="P22" s="13">
        <f t="shared" si="33"/>
        <v>13.591845292116123</v>
      </c>
      <c r="Q22" s="20">
        <f t="shared" si="2"/>
        <v>103.89641721710223</v>
      </c>
      <c r="R22" s="59">
        <f t="shared" si="0"/>
        <v>397.22975055043554</v>
      </c>
      <c r="S22" s="59">
        <f ca="1">AVERAGE(OFFSET($R$3,0,0,'Données projet'!$E$9+1,1))-AVERAGE(OFFSET($H$3,0,0,'Données projet'!$E$9+1,1))</f>
        <v>235.10258076192054</v>
      </c>
      <c r="T22" s="59">
        <f t="shared" si="34"/>
        <v>233.47316052603765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5.25</v>
      </c>
      <c r="AI22" s="13">
        <f>IF('Données projet'!$A$62&gt;35,AI21+AH22-AQ21,IF(A22&lt;'Données projet'!$A$62,$AF$205^A22,IF(A22='Données projet'!$A$62,'Données projet'!$B$62,AI21+AH22-AQ21)))</f>
        <v>83.201246746571883</v>
      </c>
      <c r="AJ22" s="13">
        <f>AI22*VLOOKUP('Données projet'!$B$10,Paramètres!$A$1:$I$89,3,0)*VLOOKUP('Données projet'!$B$10,Paramètres!$A$1:$I$89,5,0)</f>
        <v>72.684609157805212</v>
      </c>
      <c r="AK22" s="13">
        <f t="shared" si="35"/>
        <v>20.338673382424638</v>
      </c>
      <c r="AL22" s="20">
        <f t="shared" si="4"/>
        <v>162.01555042423362</v>
      </c>
      <c r="AM22" s="59">
        <f t="shared" si="5"/>
        <v>455.34888375756691</v>
      </c>
      <c r="AN22" s="59">
        <f ca="1">AVERAGE(OFFSET($AM$3,0,0,'Données projet'!$E$10+1,1))-AVERAGE(OFFSET($H$3,0,0,'Données projet'!$E$10+1,1))</f>
        <v>191.94797389630673</v>
      </c>
      <c r="AO22" s="59">
        <f t="shared" si="36"/>
        <v>273.52540822767878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15.8</v>
      </c>
      <c r="BD22" s="12">
        <f>IF('Données projet'!$A$88&gt;35,BD21+BC22-BL21,IF(A22&lt;'Données projet'!$A$88,$BA$205^A22,IF(A22='Données projet'!$A$88,'Données projet'!$B$88,BD21+BC22-BL21)))</f>
        <v>162.20000000000002</v>
      </c>
      <c r="BE22" s="13">
        <f>BD22*VLOOKUP('Données projet'!$B$11,Paramètres!$A$1:$I$89,3,0)*VLOOKUP('Données projet'!$B$11,Paramètres!$A$1:$I$89,5,0)</f>
        <v>103.74312000000002</v>
      </c>
      <c r="BF22" s="13">
        <f t="shared" si="37"/>
        <v>27.851828141902416</v>
      </c>
      <c r="BG22" s="20">
        <f t="shared" si="7"/>
        <v>229.19453468048005</v>
      </c>
      <c r="BH22" s="59">
        <f t="shared" si="8"/>
        <v>522.5278680138133</v>
      </c>
      <c r="BI22" s="59">
        <f ca="1">AVERAGE(OFFSET($BH$3,0,0,'Données projet'!$E$11+1,1))-AVERAGE(OFFSET($H$3,0,0,'Données projet'!$E$11+1,1))</f>
        <v>64.256756080189803</v>
      </c>
      <c r="BJ22" s="59">
        <f t="shared" si="38"/>
        <v>209.76343043971747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95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94.999999999999986</v>
      </c>
      <c r="O23" s="13">
        <f>N23*VLOOKUP('Données projet'!$B$9,Paramètres!$A$1:$I$89,3,0)*VLOOKUP('Données projet'!$B$9,Paramètres!$A$1:$I$89,5,0)</f>
        <v>53.104999999999997</v>
      </c>
      <c r="P23" s="13">
        <f t="shared" si="33"/>
        <v>15.412806139971311</v>
      </c>
      <c r="Q23" s="20">
        <f t="shared" si="2"/>
        <v>119.33517902711669</v>
      </c>
      <c r="R23" s="59">
        <f t="shared" si="0"/>
        <v>412.66851236044999</v>
      </c>
      <c r="S23" s="59">
        <f ca="1">AVERAGE(OFFSET($R$3,0,0,'Données projet'!$E$9+1,1))-AVERAGE(OFFSET($H$3,0,0,'Données projet'!$E$9+1,1))</f>
        <v>235.10258076192054</v>
      </c>
      <c r="T23" s="59">
        <f t="shared" si="34"/>
        <v>233.47316052603765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4.0624637214493449</v>
      </c>
      <c r="AB23" s="21">
        <f>EXP(-LN(2)/2)*AB22+(1-EXP(-LN(2)/2))/(LN(2)/2)*V23*Y23*VLOOKUP('Données projet'!$B$9,Paramètres!$A$1:$I$89,3,0)*0.475*44/12</f>
        <v>6.3291785431729446</v>
      </c>
      <c r="AC23" s="22">
        <f t="shared" si="3"/>
        <v>10.391642264622289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105</v>
      </c>
      <c r="AG23" s="12">
        <f>VLOOKUP(A23,'Données projet'!$A$61:$I$81,9,0)</f>
        <v>5.25</v>
      </c>
      <c r="AH23" s="12">
        <f t="array" ref="AH23">INDEX(AG:AG,MIN(IF(ISNUMBER(AG23:AG219),ROW(AG23:AG219),"")))</f>
        <v>5.25</v>
      </c>
      <c r="AI23" s="13">
        <f>IF('Données projet'!$A$62&gt;35,AI22+AH23-AQ22,IF(A23&lt;'Données projet'!$A$62,$AF$205^A23,IF(A23='Données projet'!$A$62,'Données projet'!$B$62,AI22+AH23-AQ22)))</f>
        <v>105</v>
      </c>
      <c r="AJ23" s="13">
        <f>AI23*VLOOKUP('Données projet'!$B$10,Paramètres!$A$1:$I$89,3,0)*VLOOKUP('Données projet'!$B$10,Paramètres!$A$1:$I$89,5,0)</f>
        <v>91.728000000000009</v>
      </c>
      <c r="AK23" s="13">
        <f t="shared" si="35"/>
        <v>24.981514582386563</v>
      </c>
      <c r="AL23" s="20">
        <f t="shared" si="4"/>
        <v>203.26907123098991</v>
      </c>
      <c r="AM23" s="59">
        <f t="shared" si="5"/>
        <v>496.60240456432325</v>
      </c>
      <c r="AN23" s="59">
        <f ca="1">AVERAGE(OFFSET($AM$3,0,0,'Données projet'!$E$10+1,1))-AVERAGE(OFFSET($H$3,0,0,'Données projet'!$E$10+1,1))</f>
        <v>191.94797389630673</v>
      </c>
      <c r="AO23" s="59">
        <f t="shared" si="36"/>
        <v>273.52540822767878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3.3090613585623756</v>
      </c>
      <c r="AW23" s="21">
        <f>EXP(-LN(2)/2)*AW22+(1-EXP(-LN(2)/2))/(LN(2)/2)*AQ23*AT23*VLOOKUP('Données projet'!$B$10,Paramètres!$A$1:$I$89,3,0)*0.475*44/12</f>
        <v>6.5941209007941382</v>
      </c>
      <c r="AX23" s="21">
        <f t="shared" si="6"/>
        <v>9.9031822593565142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178</v>
      </c>
      <c r="BB23" s="12">
        <f>VLOOKUP(A23,'Données projet'!$A$87:$I$107,9,0)</f>
        <v>15.8</v>
      </c>
      <c r="BC23" s="12">
        <f t="array" ref="BC23">INDEX(BB:BB,MIN(IF(ISNUMBER(BB23:BB219),ROW(BB23:BB219),"")))</f>
        <v>15.8</v>
      </c>
      <c r="BD23" s="12">
        <f>IF('Données projet'!$A$88&gt;35,BD22+BC23-BL22,IF(A23&lt;'Données projet'!$A$88,$BA$205^A23,IF(A23='Données projet'!$A$88,'Données projet'!$B$88,BD22+BC23-BL22)))</f>
        <v>178.00000000000003</v>
      </c>
      <c r="BE23" s="13">
        <f>BD23*VLOOKUP('Données projet'!$B$11,Paramètres!$A$1:$I$89,3,0)*VLOOKUP('Données projet'!$B$11,Paramètres!$A$1:$I$89,5,0)</f>
        <v>113.84880000000001</v>
      </c>
      <c r="BF23" s="13">
        <f t="shared" si="37"/>
        <v>30.235968889458398</v>
      </c>
      <c r="BG23" s="20">
        <f t="shared" si="7"/>
        <v>250.94763914914006</v>
      </c>
      <c r="BH23" s="59">
        <f t="shared" si="8"/>
        <v>544.28097248247332</v>
      </c>
      <c r="BI23" s="59">
        <f ca="1">AVERAGE(OFFSET($BH$3,0,0,'Données projet'!$E$11+1,1))-AVERAGE(OFFSET($H$3,0,0,'Données projet'!$E$11+1,1))</f>
        <v>64.256756080189803</v>
      </c>
      <c r="BJ23" s="59">
        <f t="shared" si="38"/>
        <v>209.76343043971747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178</v>
      </c>
      <c r="BM23" s="16">
        <f>IF(ISNA(VLOOKUP(A23,'Données projet'!$A$87:$I$107,5,0)),0%,VLOOKUP(A23,'Données projet'!$A$87:$I$107,5,0)*VLOOKUP('Données projet'!$B$11,Paramètres!$A$1:$I$89,7,0))</f>
        <v>0.33540000000000003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0.22</v>
      </c>
      <c r="BP23" s="21">
        <f>EXP(-LN(2)/35)*BP22+(1-EXP(-LN(2)/35))/(LN(2)/35)*BL23*BM23*VLOOKUP('Données projet'!$B$11,Paramètres!$A$1:$I$89,3,0)*0.475*44/12</f>
        <v>42.212262099157414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23.632269539015706</v>
      </c>
      <c r="BS23" s="22">
        <f t="shared" si="9"/>
        <v>65.844531638173123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16.5</v>
      </c>
      <c r="N24" s="13">
        <f>IF('Données projet'!$A$36&gt;35,N23+M24-V23,IF(A24&lt;'Données projet'!$A$36,$K$205^A24,IF(A24='Données projet'!$A$36,'Données projet'!$B$36,N23+M24-V23)))</f>
        <v>91.499999999999986</v>
      </c>
      <c r="O24" s="13">
        <f>N24*VLOOKUP('Données projet'!$B$9,Paramètres!$A$1:$I$89,3,0)*VLOOKUP('Données projet'!$B$9,Paramètres!$A$1:$I$89,5,0)</f>
        <v>51.148499999999991</v>
      </c>
      <c r="P24" s="13">
        <f t="shared" si="33"/>
        <v>14.909971627825177</v>
      </c>
      <c r="Q24" s="20">
        <f t="shared" si="2"/>
        <v>115.05183808512884</v>
      </c>
      <c r="R24" s="59">
        <f t="shared" si="0"/>
        <v>408.38517141846216</v>
      </c>
      <c r="S24" s="59">
        <f ca="1">AVERAGE(OFFSET($R$3,0,0,'Données projet'!$E$9+1,1))-AVERAGE(OFFSET($H$3,0,0,'Données projet'!$E$9+1,1))</f>
        <v>235.10258076192054</v>
      </c>
      <c r="T24" s="59">
        <f t="shared" si="34"/>
        <v>233.47316052603765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3.9513754373506305</v>
      </c>
      <c r="AB24" s="21">
        <f>EXP(-LN(2)/2)*AB23+(1-EXP(-LN(2)/2))/(LN(2)/2)*V24*Y24*VLOOKUP('Données projet'!$B$9,Paramètres!$A$1:$I$89,3,0)*0.475*44/12</f>
        <v>4.4754050672179835</v>
      </c>
      <c r="AC24" s="22">
        <f t="shared" si="3"/>
        <v>8.4267805045686135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83.2</v>
      </c>
      <c r="AJ24" s="13">
        <f>AI24*VLOOKUP('Données projet'!$B$10,Paramètres!$A$1:$I$89,3,0)*VLOOKUP('Données projet'!$B$10,Paramètres!$A$1:$I$89,5,0)</f>
        <v>72.683520000000016</v>
      </c>
      <c r="AK24" s="13">
        <f t="shared" si="35"/>
        <v>20.338404088189375</v>
      </c>
      <c r="AL24" s="20">
        <f t="shared" si="4"/>
        <v>162.01318445359652</v>
      </c>
      <c r="AM24" s="59">
        <f t="shared" si="5"/>
        <v>455.34651778692984</v>
      </c>
      <c r="AN24" s="59">
        <f ca="1">AVERAGE(OFFSET($AM$3,0,0,'Données projet'!$E$10+1,1))-AVERAGE(OFFSET($H$3,0,0,'Données projet'!$E$10+1,1))</f>
        <v>191.94797389630673</v>
      </c>
      <c r="AO24" s="59">
        <f t="shared" si="36"/>
        <v>273.52540822767878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3.2185749016965137</v>
      </c>
      <c r="AW24" s="21">
        <f>EXP(-LN(2)/2)*AW23+(1-EXP(-LN(2)/2))/(LN(2)/2)*AQ24*AT24*VLOOKUP('Données projet'!$B$10,Paramètres!$A$1:$I$89,3,0)*0.475*44/12</f>
        <v>4.6627476049154808</v>
      </c>
      <c r="AX24" s="21">
        <f t="shared" si="6"/>
        <v>7.8813225066119941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2.8421709430404007E-14</v>
      </c>
      <c r="BE24" s="13">
        <f>BD24*VLOOKUP('Données projet'!$B$11,Paramètres!$A$1:$I$89,3,0)*VLOOKUP('Données projet'!$B$11,Paramètres!$A$1:$I$89,5,0)</f>
        <v>1.8178525351686402E-14</v>
      </c>
      <c r="BF24" s="13">
        <f t="shared" si="37"/>
        <v>3.3304129621647644E-13</v>
      </c>
      <c r="BG24" s="20">
        <f t="shared" si="7"/>
        <v>6.1170785589788349E-13</v>
      </c>
      <c r="BH24" s="59">
        <f t="shared" si="8"/>
        <v>293.33333333333394</v>
      </c>
      <c r="BI24" s="59">
        <f ca="1">AVERAGE(OFFSET($BH$3,0,0,'Données projet'!$E$11+1,1))-AVERAGE(OFFSET($H$3,0,0,'Données projet'!$E$11+1,1))</f>
        <v>64.256756080189803</v>
      </c>
      <c r="BJ24" s="59">
        <f t="shared" si="38"/>
        <v>209.76343043971747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41.384505386330517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16.710538045866294</v>
      </c>
      <c r="BS24" s="22">
        <f t="shared" si="9"/>
        <v>58.09504343219681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16.5</v>
      </c>
      <c r="N25" s="13">
        <f>IF('Données projet'!$A$36&gt;35,N24+M25-V24,IF(A25&lt;'Données projet'!$A$36,$K$205^A25,IF(A25='Données projet'!$A$36,'Données projet'!$B$36,N24+M25-V24)))</f>
        <v>107.99999999999999</v>
      </c>
      <c r="O25" s="13">
        <f>N25*VLOOKUP('Données projet'!$B$9,Paramètres!$A$1:$I$89,3,0)*VLOOKUP('Données projet'!$B$9,Paramètres!$A$1:$I$89,5,0)</f>
        <v>60.371999999999993</v>
      </c>
      <c r="P25" s="13">
        <f t="shared" si="33"/>
        <v>17.262288423858568</v>
      </c>
      <c r="Q25" s="20">
        <f t="shared" si="2"/>
        <v>135.21305233822034</v>
      </c>
      <c r="R25" s="59">
        <f t="shared" si="0"/>
        <v>428.54638567155365</v>
      </c>
      <c r="S25" s="59">
        <f ca="1">AVERAGE(OFFSET($R$3,0,0,'Données projet'!$E$9+1,1))-AVERAGE(OFFSET($H$3,0,0,'Données projet'!$E$9+1,1))</f>
        <v>235.10258076192054</v>
      </c>
      <c r="T25" s="59">
        <f t="shared" si="34"/>
        <v>233.47316052603765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3.8433248682224743</v>
      </c>
      <c r="AB25" s="21">
        <f>EXP(-LN(2)/2)*AB24+(1-EXP(-LN(2)/2))/(LN(2)/2)*V25*Y25*VLOOKUP('Données projet'!$B$9,Paramètres!$A$1:$I$89,3,0)*0.475*44/12</f>
        <v>3.1645892715864727</v>
      </c>
      <c r="AC25" s="22">
        <f t="shared" si="3"/>
        <v>7.0079141398089471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93.4</v>
      </c>
      <c r="AJ25" s="13">
        <f>AI25*VLOOKUP('Données projet'!$B$10,Paramètres!$A$1:$I$89,3,0)*VLOOKUP('Données projet'!$B$10,Paramètres!$A$1:$I$89,5,0)</f>
        <v>81.594240000000013</v>
      </c>
      <c r="AK25" s="13">
        <f t="shared" si="35"/>
        <v>22.526535320646357</v>
      </c>
      <c r="AL25" s="20">
        <f t="shared" si="4"/>
        <v>181.34368368345909</v>
      </c>
      <c r="AM25" s="59">
        <f t="shared" si="5"/>
        <v>474.67701701679243</v>
      </c>
      <c r="AN25" s="59">
        <f ca="1">AVERAGE(OFFSET($AM$3,0,0,'Données projet'!$E$10+1,1))-AVERAGE(OFFSET($H$3,0,0,'Données projet'!$E$10+1,1))</f>
        <v>191.94797389630673</v>
      </c>
      <c r="AO25" s="59">
        <f t="shared" si="36"/>
        <v>273.52540822767878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3.1305628017521245</v>
      </c>
      <c r="AW25" s="21">
        <f>EXP(-LN(2)/2)*AW24+(1-EXP(-LN(2)/2))/(LN(2)/2)*AQ25*AT25*VLOOKUP('Données projet'!$B$10,Paramètres!$A$1:$I$89,3,0)*0.475*44/12</f>
        <v>3.2970604503970695</v>
      </c>
      <c r="AX25" s="21">
        <f t="shared" si="6"/>
        <v>6.4276232521491945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2.8421709430404007E-14</v>
      </c>
      <c r="BE25" s="13">
        <f>BD25*VLOOKUP('Données projet'!$B$11,Paramètres!$A$1:$I$89,3,0)*VLOOKUP('Données projet'!$B$11,Paramètres!$A$1:$I$89,5,0)</f>
        <v>1.8178525351686402E-14</v>
      </c>
      <c r="BF25" s="13">
        <f t="shared" si="37"/>
        <v>3.3304129621647644E-13</v>
      </c>
      <c r="BG25" s="20">
        <f t="shared" si="7"/>
        <v>6.1170785589788349E-13</v>
      </c>
      <c r="BH25" s="59">
        <f t="shared" si="8"/>
        <v>293.33333333333394</v>
      </c>
      <c r="BI25" s="59">
        <f ca="1">AVERAGE(OFFSET($BH$3,0,0,'Données projet'!$E$11+1,1))-AVERAGE(OFFSET($H$3,0,0,'Données projet'!$E$11+1,1))</f>
        <v>64.256756080189803</v>
      </c>
      <c r="BJ25" s="59">
        <f t="shared" si="38"/>
        <v>209.76343043971747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40.572980477760417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11.816134769507855</v>
      </c>
      <c r="BS25" s="22">
        <f t="shared" si="9"/>
        <v>52.389115247268272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16.5</v>
      </c>
      <c r="N26" s="13">
        <f>IF('Données projet'!$A$36&gt;35,N25+M26-V25,IF(A26&lt;'Données projet'!$A$36,$K$205^A26,IF(A26='Données projet'!$A$36,'Données projet'!$B$36,N25+M26-V25)))</f>
        <v>124.49999999999999</v>
      </c>
      <c r="O26" s="13">
        <f>N26*VLOOKUP('Données projet'!$B$9,Paramètres!$A$1:$I$89,3,0)*VLOOKUP('Données projet'!$B$9,Paramètres!$A$1:$I$89,5,0)</f>
        <v>69.595500000000001</v>
      </c>
      <c r="P26" s="13">
        <f t="shared" si="33"/>
        <v>19.572972108970312</v>
      </c>
      <c r="Q26" s="20">
        <f t="shared" si="2"/>
        <v>155.30175558978996</v>
      </c>
      <c r="R26" s="59">
        <f t="shared" si="0"/>
        <v>448.63508892312325</v>
      </c>
      <c r="S26" s="59">
        <f ca="1">AVERAGE(OFFSET($R$3,0,0,'Données projet'!$E$9+1,1))-AVERAGE(OFFSET($H$3,0,0,'Données projet'!$E$9+1,1))</f>
        <v>235.10258076192054</v>
      </c>
      <c r="T26" s="59">
        <f t="shared" si="34"/>
        <v>233.47316052603765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3.7382289475892598</v>
      </c>
      <c r="AB26" s="21">
        <f>EXP(-LN(2)/2)*AB25+(1-EXP(-LN(2)/2))/(LN(2)/2)*V26*Y26*VLOOKUP('Données projet'!$B$9,Paramètres!$A$1:$I$89,3,0)*0.475*44/12</f>
        <v>2.2377025336089917</v>
      </c>
      <c r="AC26" s="22">
        <f t="shared" si="3"/>
        <v>5.975931481198252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103.60000000000001</v>
      </c>
      <c r="AJ26" s="13">
        <f>AI26*VLOOKUP('Données projet'!$B$10,Paramètres!$A$1:$I$89,3,0)*VLOOKUP('Données projet'!$B$10,Paramètres!$A$1:$I$89,5,0)</f>
        <v>90.504960000000025</v>
      </c>
      <c r="AK26" s="13">
        <f t="shared" si="35"/>
        <v>24.686969501776463</v>
      </c>
      <c r="AL26" s="20">
        <f t="shared" si="4"/>
        <v>200.62594388226071</v>
      </c>
      <c r="AM26" s="59">
        <f t="shared" si="5"/>
        <v>493.95927721559406</v>
      </c>
      <c r="AN26" s="59">
        <f ca="1">AVERAGE(OFFSET($AM$3,0,0,'Données projet'!$E$10+1,1))-AVERAGE(OFFSET($H$3,0,0,'Données projet'!$E$10+1,1))</f>
        <v>191.94797389630673</v>
      </c>
      <c r="AO26" s="59">
        <f t="shared" si="36"/>
        <v>273.52540822767878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3.0449573973090698</v>
      </c>
      <c r="AW26" s="21">
        <f>EXP(-LN(2)/2)*AW25+(1-EXP(-LN(2)/2))/(LN(2)/2)*AQ26*AT26*VLOOKUP('Données projet'!$B$10,Paramètres!$A$1:$I$89,3,0)*0.475*44/12</f>
        <v>2.3313738024577408</v>
      </c>
      <c r="AX26" s="21">
        <f t="shared" si="6"/>
        <v>5.3763311997668106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2.8421709430404007E-14</v>
      </c>
      <c r="BE26" s="13">
        <f>BD26*VLOOKUP('Données projet'!$B$11,Paramètres!$A$1:$I$89,3,0)*VLOOKUP('Données projet'!$B$11,Paramètres!$A$1:$I$89,5,0)</f>
        <v>1.8178525351686402E-14</v>
      </c>
      <c r="BF26" s="13">
        <f t="shared" si="37"/>
        <v>3.3304129621647644E-13</v>
      </c>
      <c r="BG26" s="20">
        <f t="shared" si="7"/>
        <v>6.1170785589788349E-13</v>
      </c>
      <c r="BH26" s="59">
        <f t="shared" si="8"/>
        <v>293.33333333333394</v>
      </c>
      <c r="BI26" s="59">
        <f ca="1">AVERAGE(OFFSET($BH$3,0,0,'Données projet'!$E$11+1,1))-AVERAGE(OFFSET($H$3,0,0,'Données projet'!$E$11+1,1))</f>
        <v>64.256756080189803</v>
      </c>
      <c r="BJ26" s="59">
        <f t="shared" si="38"/>
        <v>209.76343043971747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39.777369077666059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8.3552690229331468</v>
      </c>
      <c r="BS26" s="22">
        <f t="shared" si="9"/>
        <v>48.132638100599209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16.5</v>
      </c>
      <c r="N27" s="13">
        <f>IF('Données projet'!$A$36&gt;35,N26+M27-V26,IF(A27&lt;'Données projet'!$A$36,$K$205^A27,IF(A27='Données projet'!$A$36,'Données projet'!$B$36,N26+M27-V26)))</f>
        <v>141</v>
      </c>
      <c r="O27" s="13">
        <f>N27*VLOOKUP('Données projet'!$B$9,Paramètres!$A$1:$I$89,3,0)*VLOOKUP('Données projet'!$B$9,Paramètres!$A$1:$I$89,5,0)</f>
        <v>78.819000000000003</v>
      </c>
      <c r="P27" s="13">
        <f t="shared" si="33"/>
        <v>21.848174018657907</v>
      </c>
      <c r="Q27" s="20">
        <f t="shared" si="2"/>
        <v>175.32866141582917</v>
      </c>
      <c r="R27" s="59">
        <f t="shared" si="0"/>
        <v>468.66199474916249</v>
      </c>
      <c r="S27" s="59">
        <f ca="1">AVERAGE(OFFSET($R$3,0,0,'Données projet'!$E$9+1,1))-AVERAGE(OFFSET($H$3,0,0,'Données projet'!$E$9+1,1))</f>
        <v>235.10258076192054</v>
      </c>
      <c r="T27" s="59">
        <f t="shared" si="34"/>
        <v>233.47316052603765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3.636006880432515</v>
      </c>
      <c r="AB27" s="21">
        <f>EXP(-LN(2)/2)*AB26+(1-EXP(-LN(2)/2))/(LN(2)/2)*V27*Y27*VLOOKUP('Données projet'!$B$9,Paramètres!$A$1:$I$89,3,0)*0.475*44/12</f>
        <v>1.5822946357932364</v>
      </c>
      <c r="AC27" s="22">
        <f t="shared" si="3"/>
        <v>5.2183015162257513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113.80000000000001</v>
      </c>
      <c r="AJ27" s="13">
        <f>AI27*VLOOKUP('Données projet'!$B$10,Paramètres!$A$1:$I$89,3,0)*VLOOKUP('Données projet'!$B$10,Paramètres!$A$1:$I$89,5,0)</f>
        <v>99.415680000000023</v>
      </c>
      <c r="AK27" s="13">
        <f t="shared" si="35"/>
        <v>26.822743922231254</v>
      </c>
      <c r="AL27" s="20">
        <f t="shared" si="4"/>
        <v>219.86525499788613</v>
      </c>
      <c r="AM27" s="59">
        <f t="shared" si="5"/>
        <v>513.19858833121941</v>
      </c>
      <c r="AN27" s="59">
        <f ca="1">AVERAGE(OFFSET($AM$3,0,0,'Données projet'!$E$10+1,1))-AVERAGE(OFFSET($H$3,0,0,'Données projet'!$E$10+1,1))</f>
        <v>191.94797389630673</v>
      </c>
      <c r="AO27" s="59">
        <f t="shared" si="36"/>
        <v>273.52540822767878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2.961692877152303</v>
      </c>
      <c r="AW27" s="21">
        <f>EXP(-LN(2)/2)*AW26+(1-EXP(-LN(2)/2))/(LN(2)/2)*AQ27*AT27*VLOOKUP('Données projet'!$B$10,Paramètres!$A$1:$I$89,3,0)*0.475*44/12</f>
        <v>1.6485302251985352</v>
      </c>
      <c r="AX27" s="21">
        <f t="shared" si="6"/>
        <v>4.6102231023508384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2.8421709430404007E-14</v>
      </c>
      <c r="BE27" s="13">
        <f>BD27*VLOOKUP('Données projet'!$B$11,Paramètres!$A$1:$I$89,3,0)*VLOOKUP('Données projet'!$B$11,Paramètres!$A$1:$I$89,5,0)</f>
        <v>1.8178525351686402E-14</v>
      </c>
      <c r="BF27" s="13">
        <f t="shared" si="37"/>
        <v>3.3304129621647644E-13</v>
      </c>
      <c r="BG27" s="20">
        <f t="shared" si="7"/>
        <v>6.1170785589788349E-13</v>
      </c>
      <c r="BH27" s="59">
        <f t="shared" si="8"/>
        <v>293.33333333333394</v>
      </c>
      <c r="BI27" s="59">
        <f ca="1">AVERAGE(OFFSET($BH$3,0,0,'Données projet'!$E$11+1,1))-AVERAGE(OFFSET($H$3,0,0,'Données projet'!$E$11+1,1))</f>
        <v>64.256756080189803</v>
      </c>
      <c r="BJ27" s="59">
        <f t="shared" si="38"/>
        <v>209.76343043971747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38.997359131852512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5.9080673847539273</v>
      </c>
      <c r="BS27" s="22">
        <f t="shared" si="9"/>
        <v>44.90542651660644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16.5</v>
      </c>
      <c r="N28" s="13">
        <f>IF('Données projet'!$A$36&gt;35,N27+M28-V27,IF(A28&lt;'Données projet'!$A$36,$K$205^A28,IF(A28='Données projet'!$A$36,'Données projet'!$B$36,N27+M28-V27)))</f>
        <v>157.5</v>
      </c>
      <c r="O28" s="13">
        <f>N28*VLOOKUP('Données projet'!$B$9,Paramètres!$A$1:$I$89,3,0)*VLOOKUP('Données projet'!$B$9,Paramètres!$A$1:$I$89,5,0)</f>
        <v>88.04249999999999</v>
      </c>
      <c r="P28" s="13">
        <f t="shared" si="33"/>
        <v>24.0925206268385</v>
      </c>
      <c r="Q28" s="20">
        <f t="shared" si="2"/>
        <v>195.30182759174372</v>
      </c>
      <c r="R28" s="59">
        <f t="shared" si="0"/>
        <v>488.635160925077</v>
      </c>
      <c r="S28" s="59">
        <f ca="1">AVERAGE(OFFSET($R$3,0,0,'Données projet'!$E$9+1,1))-AVERAGE(OFFSET($H$3,0,0,'Données projet'!$E$9+1,1))</f>
        <v>235.10258076192054</v>
      </c>
      <c r="T28" s="59">
        <f t="shared" si="34"/>
        <v>233.47316052603765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3.5365800810777963</v>
      </c>
      <c r="AB28" s="21">
        <f>EXP(-LN(2)/2)*AB27+(1-EXP(-LN(2)/2))/(LN(2)/2)*V28*Y28*VLOOKUP('Données projet'!$B$9,Paramètres!$A$1:$I$89,3,0)*0.475*44/12</f>
        <v>1.1188512668044959</v>
      </c>
      <c r="AC28" s="22">
        <f t="shared" si="3"/>
        <v>4.655431347882292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124.00000000000001</v>
      </c>
      <c r="AJ28" s="13">
        <f>AI28*VLOOKUP('Données projet'!$B$10,Paramètres!$A$1:$I$89,3,0)*VLOOKUP('Données projet'!$B$10,Paramètres!$A$1:$I$89,5,0)</f>
        <v>108.32640000000002</v>
      </c>
      <c r="AK28" s="13">
        <f t="shared" si="35"/>
        <v>28.936320206966883</v>
      </c>
      <c r="AL28" s="20">
        <f t="shared" si="4"/>
        <v>239.06590436046736</v>
      </c>
      <c r="AM28" s="59">
        <f t="shared" si="5"/>
        <v>532.39923769380061</v>
      </c>
      <c r="AN28" s="59">
        <f ca="1">AVERAGE(OFFSET($AM$3,0,0,'Données projet'!$E$10+1,1))-AVERAGE(OFFSET($H$3,0,0,'Données projet'!$E$10+1,1))</f>
        <v>191.94797389630673</v>
      </c>
      <c r="AO28" s="59">
        <f t="shared" si="36"/>
        <v>273.52540822767878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2.8807052296779139</v>
      </c>
      <c r="AW28" s="21">
        <f>EXP(-LN(2)/2)*AW27+(1-EXP(-LN(2)/2))/(LN(2)/2)*AQ28*AT28*VLOOKUP('Données projet'!$B$10,Paramètres!$A$1:$I$89,3,0)*0.475*44/12</f>
        <v>1.1656869012288706</v>
      </c>
      <c r="AX28" s="21">
        <f t="shared" si="6"/>
        <v>4.046392130906785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2.8421709430404007E-14</v>
      </c>
      <c r="BE28" s="13">
        <f>BD28*VLOOKUP('Données projet'!$B$11,Paramètres!$A$1:$I$89,3,0)*VLOOKUP('Données projet'!$B$11,Paramètres!$A$1:$I$89,5,0)</f>
        <v>1.8178525351686402E-14</v>
      </c>
      <c r="BF28" s="13">
        <f t="shared" si="37"/>
        <v>3.3304129621647644E-13</v>
      </c>
      <c r="BG28" s="20">
        <f t="shared" si="7"/>
        <v>6.1170785589788349E-13</v>
      </c>
      <c r="BH28" s="59">
        <f t="shared" si="8"/>
        <v>293.33333333333394</v>
      </c>
      <c r="BI28" s="59">
        <f ca="1">AVERAGE(OFFSET($BH$3,0,0,'Données projet'!$E$11+1,1))-AVERAGE(OFFSET($H$3,0,0,'Données projet'!$E$11+1,1))</f>
        <v>64.256756080189803</v>
      </c>
      <c r="BJ28" s="59">
        <f t="shared" si="38"/>
        <v>209.76343043971747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38.232644705317277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4.1776345114665734</v>
      </c>
      <c r="BS28" s="22">
        <f t="shared" si="9"/>
        <v>42.410279216783849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</v>
      </c>
      <c r="N29" s="13">
        <f>IF('Données projet'!$A$36&gt;35,N28+M29-V28,IF(A29&lt;'Données projet'!$A$36,$K$205^A29,IF(A29='Données projet'!$A$36,'Données projet'!$B$36,N28+M29-V28)))</f>
        <v>174</v>
      </c>
      <c r="O29" s="13">
        <f>N29*VLOOKUP('Données projet'!$B$9,Paramètres!$A$1:$I$89,3,0)*VLOOKUP('Données projet'!$B$9,Paramètres!$A$1:$I$89,5,0)</f>
        <v>97.265999999999991</v>
      </c>
      <c r="P29" s="13">
        <f t="shared" si="33"/>
        <v>26.309612648745627</v>
      </c>
      <c r="Q29" s="20">
        <f t="shared" si="2"/>
        <v>215.22752536323196</v>
      </c>
      <c r="R29" s="59">
        <f t="shared" si="0"/>
        <v>508.56085869656528</v>
      </c>
      <c r="S29" s="59">
        <f ca="1">AVERAGE(OFFSET($R$3,0,0,'Données projet'!$E$9+1,1))-AVERAGE(OFFSET($H$3,0,0,'Données projet'!$E$9+1,1))</f>
        <v>235.10258076192054</v>
      </c>
      <c r="T29" s="59">
        <f t="shared" si="34"/>
        <v>233.47316052603765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3.4398721127800607</v>
      </c>
      <c r="AB29" s="21">
        <f>EXP(-LN(2)/2)*AB28+(1-EXP(-LN(2)/2))/(LN(2)/2)*V29*Y29*VLOOKUP('Données projet'!$B$9,Paramètres!$A$1:$I$89,3,0)*0.475*44/12</f>
        <v>0.79114731789661819</v>
      </c>
      <c r="AC29" s="22">
        <f t="shared" si="3"/>
        <v>4.2310194306766791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10.199999999999999</v>
      </c>
      <c r="AI29" s="13">
        <f>IF('Données projet'!$A$62&gt;35,AI28+AH29-AQ28,IF(A29&lt;'Données projet'!$A$62,$AF$205^A29,IF(A29='Données projet'!$A$62,'Données projet'!$B$62,AI28+AH29-AQ28)))</f>
        <v>134.20000000000002</v>
      </c>
      <c r="AJ29" s="13">
        <f>AI29*VLOOKUP('Données projet'!$B$10,Paramètres!$A$1:$I$89,3,0)*VLOOKUP('Données projet'!$B$10,Paramètres!$A$1:$I$89,5,0)</f>
        <v>117.23712000000003</v>
      </c>
      <c r="AK29" s="13">
        <f t="shared" si="35"/>
        <v>31.029731926851252</v>
      </c>
      <c r="AL29" s="20">
        <f t="shared" si="4"/>
        <v>258.2314337725993</v>
      </c>
      <c r="AM29" s="59">
        <f t="shared" si="5"/>
        <v>551.56476710593256</v>
      </c>
      <c r="AN29" s="59">
        <f ca="1">AVERAGE(OFFSET($AM$3,0,0,'Données projet'!$E$10+1,1))-AVERAGE(OFFSET($H$3,0,0,'Données projet'!$E$10+1,1))</f>
        <v>191.94797389630673</v>
      </c>
      <c r="AO29" s="59">
        <f t="shared" si="36"/>
        <v>273.52540822767878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2.8019321936826671</v>
      </c>
      <c r="AW29" s="21">
        <f>EXP(-LN(2)/2)*AW28+(1-EXP(-LN(2)/2))/(LN(2)/2)*AQ29*AT29*VLOOKUP('Données projet'!$B$10,Paramètres!$A$1:$I$89,3,0)*0.475*44/12</f>
        <v>0.82426511259926771</v>
      </c>
      <c r="AX29" s="21">
        <f t="shared" si="6"/>
        <v>3.6261973062819348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2.8421709430404007E-14</v>
      </c>
      <c r="BE29" s="13">
        <f>BD29*VLOOKUP('Données projet'!$B$11,Paramètres!$A$1:$I$89,3,0)*VLOOKUP('Données projet'!$B$11,Paramètres!$A$1:$I$89,5,0)</f>
        <v>1.8178525351686402E-14</v>
      </c>
      <c r="BF29" s="13">
        <f t="shared" si="37"/>
        <v>3.3304129621647644E-13</v>
      </c>
      <c r="BG29" s="20">
        <f t="shared" si="7"/>
        <v>6.1170785589788349E-13</v>
      </c>
      <c r="BH29" s="59">
        <f t="shared" si="8"/>
        <v>293.33333333333394</v>
      </c>
      <c r="BI29" s="59">
        <f ca="1">AVERAGE(OFFSET($BH$3,0,0,'Données projet'!$E$11+1,1))-AVERAGE(OFFSET($H$3,0,0,'Données projet'!$E$11+1,1))</f>
        <v>64.256756080189803</v>
      </c>
      <c r="BJ29" s="59">
        <f t="shared" si="38"/>
        <v>209.76343043971747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37.482925862256657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2.9540336923769637</v>
      </c>
      <c r="BS29" s="22">
        <f t="shared" si="9"/>
        <v>40.436959554633617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</v>
      </c>
      <c r="N30" s="13">
        <f>IF('Données projet'!$A$36&gt;35,N29+M30-V29,IF(A30&lt;'Données projet'!$A$36,$K$205^A30,IF(A30='Données projet'!$A$36,'Données projet'!$B$36,N29+M30-V29)))</f>
        <v>190.5</v>
      </c>
      <c r="O30" s="13">
        <f>N30*VLOOKUP('Données projet'!$B$9,Paramètres!$A$1:$I$89,3,0)*VLOOKUP('Données projet'!$B$9,Paramètres!$A$1:$I$89,5,0)</f>
        <v>106.48949999999999</v>
      </c>
      <c r="P30" s="13">
        <f t="shared" si="33"/>
        <v>28.502328596874577</v>
      </c>
      <c r="Q30" s="20">
        <f t="shared" si="2"/>
        <v>235.11076813955651</v>
      </c>
      <c r="R30" s="59">
        <f t="shared" si="0"/>
        <v>528.44410147288977</v>
      </c>
      <c r="S30" s="59">
        <f ca="1">AVERAGE(OFFSET($R$3,0,0,'Données projet'!$E$9+1,1))-AVERAGE(OFFSET($H$3,0,0,'Données projet'!$E$9+1,1))</f>
        <v>235.10258076192054</v>
      </c>
      <c r="T30" s="59">
        <f t="shared" si="34"/>
        <v>233.47316052603765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3.3458086289610773</v>
      </c>
      <c r="AB30" s="21">
        <f>EXP(-LN(2)/2)*AB29+(1-EXP(-LN(2)/2))/(LN(2)/2)*V30*Y30*VLOOKUP('Données projet'!$B$9,Paramètres!$A$1:$I$89,3,0)*0.475*44/12</f>
        <v>0.55942563340224793</v>
      </c>
      <c r="AC30" s="22">
        <f t="shared" si="3"/>
        <v>3.9052342623633254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10.199999999999999</v>
      </c>
      <c r="AI30" s="13">
        <f>IF('Données projet'!$A$62&gt;35,AI29+AH30-AQ29,IF(A30&lt;'Données projet'!$A$62,$AF$205^A30,IF(A30='Données projet'!$A$62,'Données projet'!$B$62,AI29+AH30-AQ29)))</f>
        <v>144.4</v>
      </c>
      <c r="AJ30" s="13">
        <f>AI30*VLOOKUP('Données projet'!$B$10,Paramètres!$A$1:$I$89,3,0)*VLOOKUP('Données projet'!$B$10,Paramètres!$A$1:$I$89,5,0)</f>
        <v>126.14784000000002</v>
      </c>
      <c r="AK30" s="13">
        <f t="shared" si="35"/>
        <v>33.10468597352537</v>
      </c>
      <c r="AL30" s="20">
        <f t="shared" si="4"/>
        <v>277.36481607055674</v>
      </c>
      <c r="AM30" s="59">
        <f t="shared" si="5"/>
        <v>570.69814940389006</v>
      </c>
      <c r="AN30" s="59">
        <f ca="1">AVERAGE(OFFSET($AM$3,0,0,'Données projet'!$E$10+1,1))-AVERAGE(OFFSET($H$3,0,0,'Données projet'!$E$10+1,1))</f>
        <v>191.94797389630673</v>
      </c>
      <c r="AO30" s="59">
        <f t="shared" si="36"/>
        <v>273.52540822767878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2.7253132104992046</v>
      </c>
      <c r="AW30" s="21">
        <f>EXP(-LN(2)/2)*AW29+(1-EXP(-LN(2)/2))/(LN(2)/2)*AQ30*AT30*VLOOKUP('Données projet'!$B$10,Paramètres!$A$1:$I$89,3,0)*0.475*44/12</f>
        <v>0.58284345061443543</v>
      </c>
      <c r="AX30" s="21">
        <f t="shared" si="6"/>
        <v>3.3081566611136402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2.8421709430404007E-14</v>
      </c>
      <c r="BE30" s="13">
        <f>BD30*VLOOKUP('Données projet'!$B$11,Paramètres!$A$1:$I$89,3,0)*VLOOKUP('Données projet'!$B$11,Paramètres!$A$1:$I$89,5,0)</f>
        <v>1.8178525351686402E-14</v>
      </c>
      <c r="BF30" s="13">
        <f t="shared" si="37"/>
        <v>3.3304129621647644E-13</v>
      </c>
      <c r="BG30" s="20">
        <f t="shared" si="7"/>
        <v>6.1170785589788349E-13</v>
      </c>
      <c r="BH30" s="59">
        <f t="shared" si="8"/>
        <v>293.33333333333394</v>
      </c>
      <c r="BI30" s="59">
        <f ca="1">AVERAGE(OFFSET($BH$3,0,0,'Données projet'!$E$11+1,1))-AVERAGE(OFFSET($H$3,0,0,'Données projet'!$E$11+1,1))</f>
        <v>64.256756080189803</v>
      </c>
      <c r="BJ30" s="59">
        <f t="shared" si="38"/>
        <v>209.76343043971747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36.747908548425116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2.0888172557332867</v>
      </c>
      <c r="BS30" s="22">
        <f t="shared" si="9"/>
        <v>38.836725804158405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</v>
      </c>
      <c r="N31" s="13">
        <f>IF('Données projet'!$A$36&gt;35,N30+M31-V30,IF(A31&lt;'Données projet'!$A$36,$K$205^A31,IF(A31='Données projet'!$A$36,'Données projet'!$B$36,N30+M31-V30)))</f>
        <v>207</v>
      </c>
      <c r="O31" s="13">
        <f>N31*VLOOKUP('Données projet'!$B$9,Paramètres!$A$1:$I$89,3,0)*VLOOKUP('Données projet'!$B$9,Paramètres!$A$1:$I$89,5,0)</f>
        <v>115.71300000000001</v>
      </c>
      <c r="P31" s="13">
        <f t="shared" si="33"/>
        <v>30.673019842466044</v>
      </c>
      <c r="Q31" s="20">
        <f t="shared" si="2"/>
        <v>254.95565122562834</v>
      </c>
      <c r="R31" s="59">
        <f t="shared" si="0"/>
        <v>548.2889845589616</v>
      </c>
      <c r="S31" s="59">
        <f ca="1">AVERAGE(OFFSET($R$3,0,0,'Données projet'!$E$9+1,1))-AVERAGE(OFFSET($H$3,0,0,'Données projet'!$E$9+1,1))</f>
        <v>235.10258076192054</v>
      </c>
      <c r="T31" s="59">
        <f t="shared" si="34"/>
        <v>233.47316052603765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3.254317316053708</v>
      </c>
      <c r="AB31" s="21">
        <f>EXP(-LN(2)/2)*AB30+(1-EXP(-LN(2)/2))/(LN(2)/2)*V31*Y31*VLOOKUP('Données projet'!$B$9,Paramètres!$A$1:$I$89,3,0)*0.475*44/12</f>
        <v>0.39557365894830909</v>
      </c>
      <c r="AC31" s="22">
        <f t="shared" si="3"/>
        <v>3.649890975002017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10.199999999999999</v>
      </c>
      <c r="AI31" s="13">
        <f>IF('Données projet'!$A$62&gt;35,AI30+AH31-AQ30,IF(A31&lt;'Données projet'!$A$62,$AF$205^A31,IF(A31='Données projet'!$A$62,'Données projet'!$B$62,AI30+AH31-AQ30)))</f>
        <v>154.6</v>
      </c>
      <c r="AJ31" s="13">
        <f>AI31*VLOOKUP('Données projet'!$B$10,Paramètres!$A$1:$I$89,3,0)*VLOOKUP('Données projet'!$B$10,Paramètres!$A$1:$I$89,5,0)</f>
        <v>135.05856000000003</v>
      </c>
      <c r="AK31" s="13">
        <f t="shared" si="35"/>
        <v>35.16263443880888</v>
      </c>
      <c r="AL31" s="20">
        <f t="shared" si="4"/>
        <v>296.46858031425882</v>
      </c>
      <c r="AM31" s="59">
        <f t="shared" si="5"/>
        <v>589.80191364759207</v>
      </c>
      <c r="AN31" s="59">
        <f ca="1">AVERAGE(OFFSET($AM$3,0,0,'Données projet'!$E$10+1,1))-AVERAGE(OFFSET($H$3,0,0,'Données projet'!$E$10+1,1))</f>
        <v>191.94797389630673</v>
      </c>
      <c r="AO31" s="59">
        <f t="shared" si="36"/>
        <v>273.52540822767878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2.6507893774401108</v>
      </c>
      <c r="AW31" s="21">
        <f>EXP(-LN(2)/2)*AW30+(1-EXP(-LN(2)/2))/(LN(2)/2)*AQ31*AT31*VLOOKUP('Données projet'!$B$10,Paramètres!$A$1:$I$89,3,0)*0.475*44/12</f>
        <v>0.41213255629963397</v>
      </c>
      <c r="AX31" s="21">
        <f t="shared" si="6"/>
        <v>3.0629219337397449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2.8421709430404007E-14</v>
      </c>
      <c r="BE31" s="13">
        <f>BD31*VLOOKUP('Données projet'!$B$11,Paramètres!$A$1:$I$89,3,0)*VLOOKUP('Données projet'!$B$11,Paramètres!$A$1:$I$89,5,0)</f>
        <v>1.8178525351686402E-14</v>
      </c>
      <c r="BF31" s="13">
        <f t="shared" si="37"/>
        <v>3.3304129621647644E-13</v>
      </c>
      <c r="BG31" s="20">
        <f t="shared" si="7"/>
        <v>6.1170785589788349E-13</v>
      </c>
      <c r="BH31" s="59">
        <f t="shared" si="8"/>
        <v>293.33333333333394</v>
      </c>
      <c r="BI31" s="59">
        <f ca="1">AVERAGE(OFFSET($BH$3,0,0,'Données projet'!$E$11+1,1))-AVERAGE(OFFSET($H$3,0,0,'Données projet'!$E$11+1,1))</f>
        <v>64.256756080189803</v>
      </c>
      <c r="BJ31" s="59">
        <f t="shared" si="38"/>
        <v>209.76343043971747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36.027304475801515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1.4770168461884818</v>
      </c>
      <c r="BS31" s="22">
        <f t="shared" si="9"/>
        <v>37.504321321989998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</v>
      </c>
      <c r="N32" s="13">
        <f>IF('Données projet'!$A$36&gt;35,N31+M32-V31,IF(A32&lt;'Données projet'!$A$36,$K$205^A32,IF(A32='Données projet'!$A$36,'Données projet'!$B$36,N31+M32-V31)))</f>
        <v>223.5</v>
      </c>
      <c r="O32" s="13">
        <f>N32*VLOOKUP('Données projet'!$B$9,Paramètres!$A$1:$I$89,3,0)*VLOOKUP('Données projet'!$B$9,Paramètres!$A$1:$I$89,5,0)</f>
        <v>124.93650000000001</v>
      </c>
      <c r="P32" s="13">
        <f t="shared" si="33"/>
        <v>32.823641573367262</v>
      </c>
      <c r="Q32" s="20">
        <f t="shared" si="2"/>
        <v>274.76557990694795</v>
      </c>
      <c r="R32" s="59">
        <f t="shared" si="0"/>
        <v>568.09891324028126</v>
      </c>
      <c r="S32" s="59">
        <f ca="1">AVERAGE(OFFSET($R$3,0,0,'Données projet'!$E$9+1,1))-AVERAGE(OFFSET($H$3,0,0,'Données projet'!$E$9+1,1))</f>
        <v>235.10258076192054</v>
      </c>
      <c r="T32" s="59">
        <f t="shared" si="34"/>
        <v>233.47316052603765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3.1653278379091097</v>
      </c>
      <c r="AB32" s="21">
        <f>EXP(-LN(2)/2)*AB31+(1-EXP(-LN(2)/2))/(LN(2)/2)*V32*Y32*VLOOKUP('Données projet'!$B$9,Paramètres!$A$1:$I$89,3,0)*0.475*44/12</f>
        <v>0.27971281670112397</v>
      </c>
      <c r="AC32" s="22">
        <f t="shared" si="3"/>
        <v>3.4450406546102337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10.199999999999999</v>
      </c>
      <c r="AI32" s="13">
        <f>IF('Données projet'!$A$62&gt;35,AI31+AH32-AQ31,IF(A32&lt;'Données projet'!$A$62,$AF$205^A32,IF(A32='Données projet'!$A$62,'Données projet'!$B$62,AI31+AH32-AQ31)))</f>
        <v>164.79999999999998</v>
      </c>
      <c r="AJ32" s="13">
        <f>AI32*VLOOKUP('Données projet'!$B$10,Paramètres!$A$1:$I$89,3,0)*VLOOKUP('Données projet'!$B$10,Paramètres!$A$1:$I$89,5,0)</f>
        <v>143.96928</v>
      </c>
      <c r="AK32" s="13">
        <f t="shared" si="35"/>
        <v>37.20482696787677</v>
      </c>
      <c r="AL32" s="20">
        <f t="shared" si="4"/>
        <v>315.54490296905198</v>
      </c>
      <c r="AM32" s="59">
        <f t="shared" si="5"/>
        <v>608.87823630238529</v>
      </c>
      <c r="AN32" s="59">
        <f ca="1">AVERAGE(OFFSET($AM$3,0,0,'Données projet'!$E$10+1,1))-AVERAGE(OFFSET($H$3,0,0,'Données projet'!$E$10+1,1))</f>
        <v>191.94797389630673</v>
      </c>
      <c r="AO32" s="59">
        <f t="shared" si="36"/>
        <v>273.52540822767878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2.578303402515056</v>
      </c>
      <c r="AW32" s="21">
        <f>EXP(-LN(2)/2)*AW31+(1-EXP(-LN(2)/2))/(LN(2)/2)*AQ32*AT32*VLOOKUP('Données projet'!$B$10,Paramètres!$A$1:$I$89,3,0)*0.475*44/12</f>
        <v>0.29142172530721777</v>
      </c>
      <c r="AX32" s="21">
        <f t="shared" si="6"/>
        <v>2.8697251278222735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2.8421709430404007E-14</v>
      </c>
      <c r="BE32" s="13">
        <f>BD32*VLOOKUP('Données projet'!$B$11,Paramètres!$A$1:$I$89,3,0)*VLOOKUP('Données projet'!$B$11,Paramètres!$A$1:$I$89,5,0)</f>
        <v>1.8178525351686402E-14</v>
      </c>
      <c r="BF32" s="13">
        <f t="shared" si="37"/>
        <v>3.3304129621647644E-13</v>
      </c>
      <c r="BG32" s="20">
        <f t="shared" si="7"/>
        <v>6.1170785589788349E-13</v>
      </c>
      <c r="BH32" s="59">
        <f t="shared" si="8"/>
        <v>293.33333333333394</v>
      </c>
      <c r="BI32" s="59">
        <f ca="1">AVERAGE(OFFSET($BH$3,0,0,'Données projet'!$E$11+1,1))-AVERAGE(OFFSET($H$3,0,0,'Données projet'!$E$11+1,1))</f>
        <v>64.256756080189803</v>
      </c>
      <c r="BJ32" s="59">
        <f t="shared" si="38"/>
        <v>209.76343043971747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35.320831009516979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1.0444086278666433</v>
      </c>
      <c r="BS32" s="22">
        <f t="shared" si="9"/>
        <v>36.365239637383624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240</v>
      </c>
      <c r="L33" s="12">
        <f>VLOOKUP(A33,'Données projet'!$A$35:$I$55,9,0)</f>
        <v>16.5</v>
      </c>
      <c r="M33" s="12">
        <f t="array" ref="M33">INDEX(L:L,MIN(IF(ISNUMBER(L33:L229),ROW(L33:L229),"")))</f>
        <v>16.5</v>
      </c>
      <c r="N33" s="13">
        <f>IF('Données projet'!$A$36&gt;35,N32+M33-V32,IF(A33&lt;'Données projet'!$A$36,$K$205^A33,IF(A33='Données projet'!$A$36,'Données projet'!$B$36,N32+M33-V32)))</f>
        <v>240</v>
      </c>
      <c r="O33" s="13">
        <f>N33*VLOOKUP('Données projet'!$B$9,Paramètres!$A$1:$I$89,3,0)*VLOOKUP('Données projet'!$B$9,Paramètres!$A$1:$I$89,5,0)</f>
        <v>134.16</v>
      </c>
      <c r="P33" s="13">
        <f t="shared" si="33"/>
        <v>34.955843917296178</v>
      </c>
      <c r="Q33" s="20">
        <f t="shared" si="2"/>
        <v>294.54342815595749</v>
      </c>
      <c r="R33" s="59">
        <f t="shared" si="0"/>
        <v>587.87676148929086</v>
      </c>
      <c r="S33" s="59">
        <f ca="1">AVERAGE(OFFSET($R$3,0,0,'Données projet'!$E$9+1,1))-AVERAGE(OFFSET($H$3,0,0,'Données projet'!$E$9+1,1))</f>
        <v>235.10258076192054</v>
      </c>
      <c r="T33" s="59">
        <f t="shared" si="34"/>
        <v>233.47316052603765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84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3.4259588313290479</v>
      </c>
      <c r="AA33" s="21">
        <f>EXP(-LN(2)/25)*AA32+(1-EXP(-LN(2)/25))/(LN(2)/25)*Calculateur!V33*Calculateur!X33*VLOOKUP('Données projet'!$B$9,Paramètres!$A$1:$I$89,3,0)*0.475*44/12</f>
        <v>18.434884648802651</v>
      </c>
      <c r="AB33" s="21">
        <f>EXP(-LN(2)/2)*AB32+(1-EXP(-LN(2)/2))/(LN(2)/2)*V33*Y33*VLOOKUP('Données projet'!$B$9,Paramètres!$A$1:$I$89,3,0)*0.475*44/12</f>
        <v>24.122081722667886</v>
      </c>
      <c r="AC33" s="22">
        <f t="shared" si="3"/>
        <v>45.982925202799585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10.199999999999999</v>
      </c>
      <c r="AH33" s="12">
        <f t="array" ref="AH33">INDEX(AG:AG,MIN(IF(ISNUMBER(AG33:AG229),ROW(AG33:AG229),"")))</f>
        <v>10.199999999999999</v>
      </c>
      <c r="AI33" s="13">
        <f>IF('Données projet'!$A$62&gt;35,AI32+AH33-AQ32,IF(A33&lt;'Données projet'!$A$62,$AF$205^A33,IF(A33='Données projet'!$A$62,'Données projet'!$B$62,AI32+AH33-AQ32)))</f>
        <v>174.99999999999997</v>
      </c>
      <c r="AJ33" s="13">
        <f>AI33*VLOOKUP('Données projet'!$B$10,Paramètres!$A$1:$I$89,3,0)*VLOOKUP('Données projet'!$B$10,Paramètres!$A$1:$I$89,5,0)</f>
        <v>152.88</v>
      </c>
      <c r="AK33" s="13">
        <f t="shared" si="35"/>
        <v>39.232349774697852</v>
      </c>
      <c r="AL33" s="20">
        <f t="shared" si="4"/>
        <v>334.59567585759874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191.94797389630673</v>
      </c>
      <c r="AO33" s="59">
        <f t="shared" si="36"/>
        <v>273.52540822767878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2.5746599702109214</v>
      </c>
      <c r="AV33" s="21">
        <f>EXP(-LN(2)/25)*AV32+(1-EXP(-LN(2)/25))/(LN(2)/25)*Calculateur!AQ33*Calculateur!AS33*VLOOKUP('Données projet'!$B$10,Paramètres!$A$1:$I$89,3,0)*0.475*44/12</f>
        <v>14.048151048372484</v>
      </c>
      <c r="AW33" s="21">
        <f>EXP(-LN(2)/2)*AW32+(1-EXP(-LN(2)/2))/(LN(2)/2)*AQ33*AT33*VLOOKUP('Données projet'!$B$10,Paramètres!$A$1:$I$89,3,0)*0.475*44/12</f>
        <v>23.203062919669375</v>
      </c>
      <c r="AX33" s="21">
        <f t="shared" si="6"/>
        <v>39.825873938252784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2.8421709430404007E-14</v>
      </c>
      <c r="BE33" s="13">
        <f>BD33*VLOOKUP('Données projet'!$B$11,Paramètres!$A$1:$I$89,3,0)*VLOOKUP('Données projet'!$B$11,Paramètres!$A$1:$I$89,5,0)</f>
        <v>1.8178525351686402E-14</v>
      </c>
      <c r="BF33" s="13">
        <f t="shared" si="37"/>
        <v>3.3304129621647644E-13</v>
      </c>
      <c r="BG33" s="20">
        <f t="shared" si="7"/>
        <v>6.1170785589788349E-13</v>
      </c>
      <c r="BH33" s="59">
        <f t="shared" si="8"/>
        <v>293.33333333333394</v>
      </c>
      <c r="BI33" s="59">
        <f ca="1">AVERAGE(OFFSET($BH$3,0,0,'Données projet'!$E$11+1,1))-AVERAGE(OFFSET($H$3,0,0,'Données projet'!$E$11+1,1))</f>
        <v>64.256756080189803</v>
      </c>
      <c r="BJ33" s="59">
        <f t="shared" si="38"/>
        <v>209.76343043971747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34.628211057000016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0.73850842309424092</v>
      </c>
      <c r="BS33" s="22">
        <f t="shared" si="9"/>
        <v>35.366719480094254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17.3</v>
      </c>
      <c r="N34" s="13">
        <f>IF('Données projet'!$A$36&gt;35,N33+M34-V33,IF(A34&lt;'Données projet'!$A$36,$K$205^A34,IF(A34='Données projet'!$A$36,'Données projet'!$B$36,N33+M34-V33)))</f>
        <v>173.3</v>
      </c>
      <c r="O34" s="13">
        <f>N34*VLOOKUP('Données projet'!$B$9,Paramètres!$A$1:$I$89,3,0)*VLOOKUP('Données projet'!$B$9,Paramètres!$A$1:$I$89,5,0)</f>
        <v>96.874700000000004</v>
      </c>
      <c r="P34" s="13">
        <f t="shared" si="33"/>
        <v>26.216067605852569</v>
      </c>
      <c r="Q34" s="20">
        <f t="shared" si="2"/>
        <v>214.38308691352654</v>
      </c>
      <c r="R34" s="59">
        <f t="shared" si="0"/>
        <v>507.71642024685985</v>
      </c>
      <c r="S34" s="59">
        <f ca="1">AVERAGE(OFFSET($R$3,0,0,'Données projet'!$E$9+1,1))-AVERAGE(OFFSET($H$3,0,0,'Données projet'!$E$9+1,1))</f>
        <v>235.10258076192054</v>
      </c>
      <c r="T34" s="59">
        <f t="shared" si="34"/>
        <v>233.47316052603765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3.3587778682752387</v>
      </c>
      <c r="AA34" s="21">
        <f>EXP(-LN(2)/25)*AA33+(1-EXP(-LN(2)/25))/(LN(2)/25)*Calculateur!V34*Calculateur!X34*VLOOKUP('Données projet'!$B$9,Paramètres!$A$1:$I$89,3,0)*0.475*44/12</f>
        <v>17.930781758632694</v>
      </c>
      <c r="AB34" s="21">
        <f>EXP(-LN(2)/2)*AB33+(1-EXP(-LN(2)/2))/(LN(2)/2)*V34*Y34*VLOOKUP('Données projet'!$B$9,Paramètres!$A$1:$I$89,3,0)*0.475*44/12</f>
        <v>17.05688756243454</v>
      </c>
      <c r="AC34" s="22">
        <f t="shared" si="3"/>
        <v>38.34644718934247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8.6999999999999993</v>
      </c>
      <c r="AI34" s="13">
        <f>IF('Données projet'!$A$62&gt;35,AI33+AH34-AQ33,IF(A34&lt;'Données projet'!$A$62,$AF$205^A34,IF(A34='Données projet'!$A$62,'Données projet'!$B$62,AI33+AH34-AQ33)))</f>
        <v>121.69999999999996</v>
      </c>
      <c r="AJ34" s="13">
        <f>AI34*VLOOKUP('Données projet'!$B$10,Paramètres!$A$1:$I$89,3,0)*VLOOKUP('Données projet'!$B$10,Paramètres!$A$1:$I$89,5,0)</f>
        <v>106.31711999999999</v>
      </c>
      <c r="AK34" s="13">
        <f t="shared" si="35"/>
        <v>28.461557060551435</v>
      </c>
      <c r="AL34" s="20">
        <f t="shared" si="4"/>
        <v>234.7395292137937</v>
      </c>
      <c r="AM34" s="59">
        <f t="shared" si="5"/>
        <v>528.07286254712699</v>
      </c>
      <c r="AN34" s="59">
        <f ca="1">AVERAGE(OFFSET($AM$3,0,0,'Données projet'!$E$10+1,1))-AVERAGE(OFFSET($H$3,0,0,'Données projet'!$E$10+1,1))</f>
        <v>191.94797389630673</v>
      </c>
      <c r="AO34" s="59">
        <f t="shared" si="36"/>
        <v>273.52540822767878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2.524172458582604</v>
      </c>
      <c r="AV34" s="21">
        <f>EXP(-LN(2)/25)*AV33+(1-EXP(-LN(2)/25))/(LN(2)/25)*Calculateur!AQ34*Calculateur!AS34*VLOOKUP('Données projet'!$B$10,Paramètres!$A$1:$I$89,3,0)*0.475*44/12</f>
        <v>13.664003619194581</v>
      </c>
      <c r="AW34" s="21">
        <f>EXP(-LN(2)/2)*AW33+(1-EXP(-LN(2)/2))/(LN(2)/2)*AQ34*AT34*VLOOKUP('Données projet'!$B$10,Paramètres!$A$1:$I$89,3,0)*0.475*44/12</f>
        <v>16.407043134796346</v>
      </c>
      <c r="AX34" s="21">
        <f t="shared" si="6"/>
        <v>32.595219212573532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2.8421709430404007E-14</v>
      </c>
      <c r="BE34" s="13">
        <f>BD34*VLOOKUP('Données projet'!$B$11,Paramètres!$A$1:$I$89,3,0)*VLOOKUP('Données projet'!$B$11,Paramètres!$A$1:$I$89,5,0)</f>
        <v>1.8178525351686402E-14</v>
      </c>
      <c r="BF34" s="13">
        <f t="shared" si="37"/>
        <v>3.3304129621647644E-13</v>
      </c>
      <c r="BG34" s="20">
        <f t="shared" si="7"/>
        <v>6.1170785589788349E-13</v>
      </c>
      <c r="BH34" s="59">
        <f t="shared" si="8"/>
        <v>293.33333333333394</v>
      </c>
      <c r="BI34" s="59">
        <f ca="1">AVERAGE(OFFSET($BH$3,0,0,'Données projet'!$E$11+1,1))-AVERAGE(OFFSET($H$3,0,0,'Données projet'!$E$11+1,1))</f>
        <v>64.256756080189803</v>
      </c>
      <c r="BJ34" s="59">
        <f t="shared" si="38"/>
        <v>209.76343043971747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33.949172959295453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0.52220431393332167</v>
      </c>
      <c r="BS34" s="22">
        <f t="shared" si="9"/>
        <v>34.471377273228775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17.3</v>
      </c>
      <c r="N35" s="13">
        <f>IF('Données projet'!$A$36&gt;35,N34+M35-V34,IF(A35&lt;'Données projet'!$A$36,$K$205^A35,IF(A35='Données projet'!$A$36,'Données projet'!$B$36,N34+M35-V34)))</f>
        <v>190.60000000000002</v>
      </c>
      <c r="O35" s="13">
        <f>N35*VLOOKUP('Données projet'!$B$9,Paramètres!$A$1:$I$89,3,0)*VLOOKUP('Données projet'!$B$9,Paramètres!$A$1:$I$89,5,0)</f>
        <v>106.54540000000001</v>
      </c>
      <c r="P35" s="13">
        <f t="shared" si="33"/>
        <v>28.515548485734111</v>
      </c>
      <c r="Q35" s="20">
        <f t="shared" ref="Q35:Q66" si="53">(O35+P35)*0.475*44/12</f>
        <v>235.23115194598691</v>
      </c>
      <c r="R35" s="59">
        <f t="shared" si="0"/>
        <v>528.56448527932025</v>
      </c>
      <c r="S35" s="59">
        <f ca="1">AVERAGE(OFFSET($R$3,0,0,'Données projet'!$E$9+1,1))-AVERAGE(OFFSET($H$3,0,0,'Données projet'!$E$9+1,1))</f>
        <v>235.10258076192054</v>
      </c>
      <c r="T35" s="59">
        <f t="shared" si="34"/>
        <v>233.47316052603765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3.2929142829305733</v>
      </c>
      <c r="AA35" s="21">
        <f>EXP(-LN(2)/25)*AA34+(1-EXP(-LN(2)/25))/(LN(2)/25)*Calculateur!V35*Calculateur!X35*VLOOKUP('Données projet'!$B$9,Paramètres!$A$1:$I$89,3,0)*0.475*44/12</f>
        <v>17.440463588504052</v>
      </c>
      <c r="AB35" s="21">
        <f>EXP(-LN(2)/2)*AB34+(1-EXP(-LN(2)/2))/(LN(2)/2)*V35*Y35*VLOOKUP('Données projet'!$B$9,Paramètres!$A$1:$I$89,3,0)*0.475*44/12</f>
        <v>12.061040861333945</v>
      </c>
      <c r="AC35" s="22">
        <f t="shared" si="3"/>
        <v>32.79441873276857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8.6999999999999993</v>
      </c>
      <c r="AI35" s="13">
        <f>IF('Données projet'!$A$62&gt;35,AI34+AH35-AQ34,IF(A35&lt;'Données projet'!$A$62,$AF$205^A35,IF(A35='Données projet'!$A$62,'Données projet'!$B$62,AI34+AH35-AQ34)))</f>
        <v>130.39999999999995</v>
      </c>
      <c r="AJ35" s="13">
        <f>AI35*VLOOKUP('Données projet'!$B$10,Paramètres!$A$1:$I$89,3,0)*VLOOKUP('Données projet'!$B$10,Paramètres!$A$1:$I$89,5,0)</f>
        <v>113.91743999999996</v>
      </c>
      <c r="AK35" s="13">
        <f t="shared" si="35"/>
        <v>30.252075834566813</v>
      </c>
      <c r="AL35" s="20">
        <f t="shared" si="4"/>
        <v>251.0952400785371</v>
      </c>
      <c r="AM35" s="59">
        <f t="shared" si="5"/>
        <v>544.42857341187039</v>
      </c>
      <c r="AN35" s="59">
        <f ca="1">AVERAGE(OFFSET($AM$3,0,0,'Données projet'!$E$10+1,1))-AVERAGE(OFFSET($H$3,0,0,'Données projet'!$E$10+1,1))</f>
        <v>191.94797389630673</v>
      </c>
      <c r="AO35" s="59">
        <f t="shared" si="36"/>
        <v>273.52540822767878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2.4746749762629765</v>
      </c>
      <c r="AV35" s="21">
        <f>EXP(-LN(2)/25)*AV34+(1-EXP(-LN(2)/25))/(LN(2)/25)*Calculateur!AQ35*Calculateur!AS35*VLOOKUP('Données projet'!$B$10,Paramètres!$A$1:$I$89,3,0)*0.475*44/12</f>
        <v>13.290360721668984</v>
      </c>
      <c r="AW35" s="21">
        <f>EXP(-LN(2)/2)*AW34+(1-EXP(-LN(2)/2))/(LN(2)/2)*AQ35*AT35*VLOOKUP('Données projet'!$B$10,Paramètres!$A$1:$I$89,3,0)*0.475*44/12</f>
        <v>11.601531459834687</v>
      </c>
      <c r="AX35" s="21">
        <f t="shared" si="6"/>
        <v>27.366567157766646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2.8421709430404007E-14</v>
      </c>
      <c r="BE35" s="13">
        <f>BD35*VLOOKUP('Données projet'!$B$11,Paramètres!$A$1:$I$89,3,0)*VLOOKUP('Données projet'!$B$11,Paramètres!$A$1:$I$89,5,0)</f>
        <v>1.8178525351686402E-14</v>
      </c>
      <c r="BF35" s="13">
        <f t="shared" si="37"/>
        <v>3.3304129621647644E-13</v>
      </c>
      <c r="BG35" s="20">
        <f t="shared" si="7"/>
        <v>6.1170785589788349E-13</v>
      </c>
      <c r="BH35" s="59">
        <f t="shared" si="8"/>
        <v>293.33333333333394</v>
      </c>
      <c r="BI35" s="59">
        <f ca="1">AVERAGE(OFFSET($BH$3,0,0,'Données projet'!$E$11+1,1))-AVERAGE(OFFSET($H$3,0,0,'Données projet'!$E$11+1,1))</f>
        <v>64.256756080189803</v>
      </c>
      <c r="BJ35" s="59">
        <f t="shared" si="38"/>
        <v>209.76343043971747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33.283450384514531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0.36925421154712046</v>
      </c>
      <c r="BS35" s="22">
        <f t="shared" si="9"/>
        <v>33.652704596061653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17.3</v>
      </c>
      <c r="N36" s="13">
        <f>IF('Données projet'!$A$36&gt;35,N35+M36-V35,IF(A36&lt;'Données projet'!$A$36,$K$205^A36,IF(A36='Données projet'!$A$36,'Données projet'!$B$36,N35+M36-V35)))</f>
        <v>207.90000000000003</v>
      </c>
      <c r="O36" s="13">
        <f>N36*VLOOKUP('Données projet'!$B$9,Paramètres!$A$1:$I$89,3,0)*VLOOKUP('Données projet'!$B$9,Paramètres!$A$1:$I$89,5,0)</f>
        <v>116.21610000000003</v>
      </c>
      <c r="P36" s="13">
        <f t="shared" si="33"/>
        <v>30.790827813105789</v>
      </c>
      <c r="Q36" s="20">
        <f t="shared" si="53"/>
        <v>256.03706594115931</v>
      </c>
      <c r="R36" s="59">
        <f t="shared" si="0"/>
        <v>549.37039927449268</v>
      </c>
      <c r="S36" s="59">
        <f ca="1">AVERAGE(OFFSET($R$3,0,0,'Données projet'!$E$9+1,1))-AVERAGE(OFFSET($H$3,0,0,'Données projet'!$E$9+1,1))</f>
        <v>235.10258076192054</v>
      </c>
      <c r="T36" s="59">
        <f t="shared" si="34"/>
        <v>233.47316052603765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3.2283422423216965</v>
      </c>
      <c r="AA36" s="21">
        <f>EXP(-LN(2)/25)*AA35+(1-EXP(-LN(2)/25))/(LN(2)/25)*Calculateur!V36*Calculateur!X36*VLOOKUP('Données projet'!$B$9,Paramètres!$A$1:$I$89,3,0)*0.475*44/12</f>
        <v>16.963553194522291</v>
      </c>
      <c r="AB36" s="21">
        <f>EXP(-LN(2)/2)*AB35+(1-EXP(-LN(2)/2))/(LN(2)/2)*V36*Y36*VLOOKUP('Données projet'!$B$9,Paramètres!$A$1:$I$89,3,0)*0.475*44/12</f>
        <v>8.5284437812172715</v>
      </c>
      <c r="AC36" s="22">
        <f t="shared" si="3"/>
        <v>28.720339218061255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8.6999999999999993</v>
      </c>
      <c r="AI36" s="13">
        <f>IF('Données projet'!$A$62&gt;35,AI35+AH36-AQ35,IF(A36&lt;'Données projet'!$A$62,$AF$205^A36,IF(A36='Données projet'!$A$62,'Données projet'!$B$62,AI35+AH36-AQ35)))</f>
        <v>139.09999999999994</v>
      </c>
      <c r="AJ36" s="13">
        <f>AI36*VLOOKUP('Données projet'!$B$10,Paramètres!$A$1:$I$89,3,0)*VLOOKUP('Données projet'!$B$10,Paramètres!$A$1:$I$89,5,0)</f>
        <v>121.51775999999997</v>
      </c>
      <c r="AK36" s="13">
        <f t="shared" si="35"/>
        <v>32.028732529244031</v>
      </c>
      <c r="AL36" s="20">
        <f t="shared" si="4"/>
        <v>267.42680782176666</v>
      </c>
      <c r="AM36" s="59">
        <f t="shared" si="5"/>
        <v>560.76014115509997</v>
      </c>
      <c r="AN36" s="59">
        <f ca="1">AVERAGE(OFFSET($AM$3,0,0,'Données projet'!$E$10+1,1))-AVERAGE(OFFSET($H$3,0,0,'Données projet'!$E$10+1,1))</f>
        <v>191.94797389630673</v>
      </c>
      <c r="AO36" s="59">
        <f t="shared" si="36"/>
        <v>273.52540822767878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2.4261481093811539</v>
      </c>
      <c r="AV36" s="21">
        <f>EXP(-LN(2)/25)*AV35+(1-EXP(-LN(2)/25))/(LN(2)/25)*Calculateur!AQ36*Calculateur!AS36*VLOOKUP('Données projet'!$B$10,Paramètres!$A$1:$I$89,3,0)*0.475*44/12</f>
        <v>12.926935108825251</v>
      </c>
      <c r="AW36" s="21">
        <f>EXP(-LN(2)/2)*AW35+(1-EXP(-LN(2)/2))/(LN(2)/2)*AQ36*AT36*VLOOKUP('Données projet'!$B$10,Paramètres!$A$1:$I$89,3,0)*0.475*44/12</f>
        <v>8.2035215673981732</v>
      </c>
      <c r="AX36" s="21">
        <f t="shared" si="6"/>
        <v>23.556604785604577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2.8421709430404007E-14</v>
      </c>
      <c r="BE36" s="13">
        <f>BD36*VLOOKUP('Données projet'!$B$11,Paramètres!$A$1:$I$89,3,0)*VLOOKUP('Données projet'!$B$11,Paramètres!$A$1:$I$89,5,0)</f>
        <v>1.8178525351686402E-14</v>
      </c>
      <c r="BF36" s="13">
        <f t="shared" si="37"/>
        <v>3.3304129621647644E-13</v>
      </c>
      <c r="BG36" s="20">
        <f t="shared" si="7"/>
        <v>6.1170785589788349E-13</v>
      </c>
      <c r="BH36" s="59">
        <f t="shared" si="8"/>
        <v>293.33333333333394</v>
      </c>
      <c r="BI36" s="59">
        <f ca="1">AVERAGE(OFFSET($BH$3,0,0,'Données projet'!$E$11+1,1))-AVERAGE(OFFSET($H$3,0,0,'Données projet'!$E$11+1,1))</f>
        <v>64.256756080189803</v>
      </c>
      <c r="BJ36" s="59">
        <f t="shared" si="38"/>
        <v>209.76343043971747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32.630782223374389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0.26110215696666084</v>
      </c>
      <c r="BS36" s="22">
        <f t="shared" si="9"/>
        <v>32.891884380341047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17.3</v>
      </c>
      <c r="N37" s="13">
        <f>IF('Données projet'!$A$36&gt;35,N36+M37-V36,IF(A37&lt;'Données projet'!$A$36,$K$205^A37,IF(A37='Données projet'!$A$36,'Données projet'!$B$36,N36+M37-V36)))</f>
        <v>225.20000000000005</v>
      </c>
      <c r="O37" s="13">
        <f>N37*VLOOKUP('Données projet'!$B$9,Paramètres!$A$1:$I$89,3,0)*VLOOKUP('Données projet'!$B$9,Paramètres!$A$1:$I$89,5,0)</f>
        <v>125.88680000000002</v>
      </c>
      <c r="P37" s="13">
        <f t="shared" si="33"/>
        <v>33.044148434351406</v>
      </c>
      <c r="Q37" s="20">
        <f t="shared" si="53"/>
        <v>276.8047351898287</v>
      </c>
      <c r="R37" s="59">
        <f t="shared" si="0"/>
        <v>570.13806852316202</v>
      </c>
      <c r="S37" s="59">
        <f ca="1">AVERAGE(OFFSET($R$3,0,0,'Données projet'!$E$9+1,1))-AVERAGE(OFFSET($H$3,0,0,'Données projet'!$E$9+1,1))</f>
        <v>235.10258076192054</v>
      </c>
      <c r="T37" s="59">
        <f t="shared" si="34"/>
        <v>233.47316052603765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3.1650364200441041</v>
      </c>
      <c r="AA37" s="21">
        <f>EXP(-LN(2)/25)*AA36+(1-EXP(-LN(2)/25))/(LN(2)/25)*Calculateur!V37*Calculateur!X37*VLOOKUP('Données projet'!$B$9,Paramètres!$A$1:$I$89,3,0)*0.475*44/12</f>
        <v>16.499683940343587</v>
      </c>
      <c r="AB37" s="21">
        <f>EXP(-LN(2)/2)*AB36+(1-EXP(-LN(2)/2))/(LN(2)/2)*V37*Y37*VLOOKUP('Données projet'!$B$9,Paramètres!$A$1:$I$89,3,0)*0.475*44/12</f>
        <v>6.0305204306669733</v>
      </c>
      <c r="AC37" s="22">
        <f t="shared" si="3"/>
        <v>25.695240791054665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8.6999999999999993</v>
      </c>
      <c r="AI37" s="13">
        <f>IF('Données projet'!$A$62&gt;35,AI36+AH37-AQ36,IF(A37&lt;'Données projet'!$A$62,$AF$205^A37,IF(A37='Données projet'!$A$62,'Données projet'!$B$62,AI36+AH37-AQ36)))</f>
        <v>147.79999999999993</v>
      </c>
      <c r="AJ37" s="13">
        <f>AI37*VLOOKUP('Données projet'!$B$10,Paramètres!$A$1:$I$89,3,0)*VLOOKUP('Données projet'!$B$10,Paramètres!$A$1:$I$89,5,0)</f>
        <v>129.11807999999996</v>
      </c>
      <c r="AK37" s="13">
        <f t="shared" si="35"/>
        <v>33.792492849789191</v>
      </c>
      <c r="AL37" s="20">
        <f t="shared" si="4"/>
        <v>283.73591438004945</v>
      </c>
      <c r="AM37" s="59">
        <f t="shared" si="5"/>
        <v>577.06924771338277</v>
      </c>
      <c r="AN37" s="59">
        <f ca="1">AVERAGE(OFFSET($AM$3,0,0,'Données projet'!$E$10+1,1))-AVERAGE(OFFSET($H$3,0,0,'Données projet'!$E$10+1,1))</f>
        <v>191.94797389630673</v>
      </c>
      <c r="AO37" s="59">
        <f t="shared" si="36"/>
        <v>273.52540822767878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12.573447388476453</v>
      </c>
      <c r="AW37" s="21">
        <f>EXP(-LN(2)/2)*AW36+(1-EXP(-LN(2)/2))/(LN(2)/2)*AQ37*AT37*VLOOKUP('Données projet'!$B$10,Paramètres!$A$1:$I$89,3,0)*0.475*44/12</f>
        <v>5.8007657299173436</v>
      </c>
      <c r="AX37" s="21">
        <f t="shared" si="6"/>
        <v>20.752785943154215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2.8421709430404007E-14</v>
      </c>
      <c r="BE37" s="13">
        <f>BD37*VLOOKUP('Données projet'!$B$11,Paramètres!$A$1:$I$89,3,0)*VLOOKUP('Données projet'!$B$11,Paramètres!$A$1:$I$89,5,0)</f>
        <v>1.8178525351686402E-14</v>
      </c>
      <c r="BF37" s="13">
        <f t="shared" si="37"/>
        <v>3.3304129621647644E-13</v>
      </c>
      <c r="BG37" s="20">
        <f t="shared" si="7"/>
        <v>6.1170785589788349E-13</v>
      </c>
      <c r="BH37" s="59">
        <f t="shared" si="8"/>
        <v>293.33333333333394</v>
      </c>
      <c r="BI37" s="59">
        <f ca="1">AVERAGE(OFFSET($BH$3,0,0,'Données projet'!$E$11+1,1))-AVERAGE(OFFSET($H$3,0,0,'Données projet'!$E$11+1,1))</f>
        <v>64.256756080189803</v>
      </c>
      <c r="BJ37" s="59">
        <f t="shared" si="38"/>
        <v>209.76343043971747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31.990912486785934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0.18462710577356023</v>
      </c>
      <c r="BS37" s="22">
        <f t="shared" si="9"/>
        <v>32.175539592559495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17.3</v>
      </c>
      <c r="N38" s="13">
        <f>IF('Données projet'!$A$36&gt;35,N37+M38-V37,IF(A38&lt;'Données projet'!$A$36,$K$205^A38,IF(A38='Données projet'!$A$36,'Données projet'!$B$36,N37+M38-V37)))</f>
        <v>242.50000000000006</v>
      </c>
      <c r="O38" s="13">
        <f>N38*VLOOKUP('Données projet'!$B$9,Paramètres!$A$1:$I$89,3,0)*VLOOKUP('Données projet'!$B$9,Paramètres!$A$1:$I$89,5,0)</f>
        <v>135.55750000000003</v>
      </c>
      <c r="P38" s="13">
        <f t="shared" si="33"/>
        <v>35.277389028132369</v>
      </c>
      <c r="Q38" s="20">
        <f t="shared" si="53"/>
        <v>297.53743172399726</v>
      </c>
      <c r="R38" s="59">
        <f t="shared" si="0"/>
        <v>590.87076505733057</v>
      </c>
      <c r="S38" s="59">
        <f ca="1">AVERAGE(OFFSET($R$3,0,0,'Données projet'!$E$9+1,1))-AVERAGE(OFFSET($H$3,0,0,'Données projet'!$E$9+1,1))</f>
        <v>235.10258076192054</v>
      </c>
      <c r="T38" s="59">
        <f t="shared" si="34"/>
        <v>233.47316052603765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3.1029719863286362</v>
      </c>
      <c r="AA38" s="21">
        <f>EXP(-LN(2)/25)*AA37+(1-EXP(-LN(2)/25))/(LN(2)/25)*Calculateur!V38*Calculateur!X38*VLOOKUP('Données projet'!$B$9,Paramètres!$A$1:$I$89,3,0)*0.475*44/12</f>
        <v>16.048499215314223</v>
      </c>
      <c r="AB38" s="21">
        <f>EXP(-LN(2)/2)*AB37+(1-EXP(-LN(2)/2))/(LN(2)/2)*V38*Y38*VLOOKUP('Données projet'!$B$9,Paramètres!$A$1:$I$89,3,0)*0.475*44/12</f>
        <v>4.2642218906086358</v>
      </c>
      <c r="AC38" s="22">
        <f t="shared" si="3"/>
        <v>23.415693092251495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8.6999999999999993</v>
      </c>
      <c r="AI38" s="13">
        <f>IF('Données projet'!$A$62&gt;35,AI37+AH38-AQ37,IF(A38&lt;'Données projet'!$A$62,$AF$205^A38,IF(A38='Données projet'!$A$62,'Données projet'!$B$62,AI37+AH38-AQ37)))</f>
        <v>156.49999999999991</v>
      </c>
      <c r="AJ38" s="13">
        <f>AI38*VLOOKUP('Données projet'!$B$10,Paramètres!$A$1:$I$89,3,0)*VLOOKUP('Données projet'!$B$10,Paramètres!$A$1:$I$89,5,0)</f>
        <v>136.71839999999995</v>
      </c>
      <c r="AK38" s="13">
        <f t="shared" si="35"/>
        <v>35.544202389747838</v>
      </c>
      <c r="AL38" s="20">
        <f t="shared" si="4"/>
        <v>300.02403249547734</v>
      </c>
      <c r="AM38" s="59">
        <f t="shared" si="5"/>
        <v>593.35736582881066</v>
      </c>
      <c r="AN38" s="59">
        <f ca="1">AVERAGE(OFFSET($AM$3,0,0,'Données projet'!$E$10+1,1))-AVERAGE(OFFSET($H$3,0,0,'Données projet'!$E$10+1,1))</f>
        <v>191.94797389630673</v>
      </c>
      <c r="AO38" s="59">
        <f t="shared" si="36"/>
        <v>273.52540822767878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12.229625808429702</v>
      </c>
      <c r="AW38" s="21">
        <f>EXP(-LN(2)/2)*AW37+(1-EXP(-LN(2)/2))/(LN(2)/2)*AQ38*AT38*VLOOKUP('Données projet'!$B$10,Paramètres!$A$1:$I$89,3,0)*0.475*44/12</f>
        <v>4.1017607836990866</v>
      </c>
      <c r="AX38" s="21">
        <f t="shared" si="6"/>
        <v>18.663317054581825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2.8421709430404007E-14</v>
      </c>
      <c r="BE38" s="13">
        <f>BD38*VLOOKUP('Données projet'!$B$11,Paramètres!$A$1:$I$89,3,0)*VLOOKUP('Données projet'!$B$11,Paramètres!$A$1:$I$89,5,0)</f>
        <v>1.8178525351686402E-14</v>
      </c>
      <c r="BF38" s="13">
        <f t="shared" si="37"/>
        <v>3.3304129621647644E-13</v>
      </c>
      <c r="BG38" s="20">
        <f t="shared" si="7"/>
        <v>6.1170785589788349E-13</v>
      </c>
      <c r="BH38" s="59">
        <f t="shared" si="8"/>
        <v>293.33333333333394</v>
      </c>
      <c r="BI38" s="59">
        <f ca="1">AVERAGE(OFFSET($BH$3,0,0,'Données projet'!$E$11+1,1))-AVERAGE(OFFSET($H$3,0,0,'Données projet'!$E$11+1,1))</f>
        <v>64.256756080189803</v>
      </c>
      <c r="BJ38" s="59">
        <f t="shared" si="38"/>
        <v>209.76343043971747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31.363590205449977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0.13055107848333042</v>
      </c>
      <c r="BS38" s="22">
        <f t="shared" si="9"/>
        <v>31.494141283933306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17.3</v>
      </c>
      <c r="N39" s="13">
        <f>IF('Données projet'!$A$36&gt;35,N38+M39-V38,IF(A39&lt;'Données projet'!$A$36,$K$205^A39,IF(A39='Données projet'!$A$36,'Données projet'!$B$36,N38+M39-V38)))</f>
        <v>259.80000000000007</v>
      </c>
      <c r="O39" s="13">
        <f>N39*VLOOKUP('Données projet'!$B$9,Paramètres!$A$1:$I$89,3,0)*VLOOKUP('Données projet'!$B$9,Paramètres!$A$1:$I$89,5,0)</f>
        <v>145.22820000000004</v>
      </c>
      <c r="P39" s="13">
        <f t="shared" si="33"/>
        <v>37.492145033971944</v>
      </c>
      <c r="Q39" s="20">
        <f t="shared" si="53"/>
        <v>318.2379342675012</v>
      </c>
      <c r="R39" s="59">
        <f t="shared" si="0"/>
        <v>611.57126760083452</v>
      </c>
      <c r="S39" s="59">
        <f ca="1">AVERAGE(OFFSET($R$3,0,0,'Données projet'!$E$9+1,1))-AVERAGE(OFFSET($H$3,0,0,'Données projet'!$E$9+1,1))</f>
        <v>235.10258076192054</v>
      </c>
      <c r="T39" s="59">
        <f t="shared" si="34"/>
        <v>233.47316052603765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3.0421245983027618</v>
      </c>
      <c r="AA39" s="21">
        <f>EXP(-LN(2)/25)*AA38+(1-EXP(-LN(2)/25))/(LN(2)/25)*Calculateur!V39*Calculateur!X39*VLOOKUP('Données projet'!$B$9,Paramètres!$A$1:$I$89,3,0)*0.475*44/12</f>
        <v>15.609652160317561</v>
      </c>
      <c r="AB39" s="21">
        <f>EXP(-LN(2)/2)*AB38+(1-EXP(-LN(2)/2))/(LN(2)/2)*V39*Y39*VLOOKUP('Données projet'!$B$9,Paramètres!$A$1:$I$89,3,0)*0.475*44/12</f>
        <v>3.0152602153334866</v>
      </c>
      <c r="AC39" s="22">
        <f t="shared" si="3"/>
        <v>21.66703697395381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8.6999999999999993</v>
      </c>
      <c r="AI39" s="13">
        <f>IF('Données projet'!$A$62&gt;35,AI38+AH39-AQ38,IF(A39&lt;'Données projet'!$A$62,$AF$205^A39,IF(A39='Données projet'!$A$62,'Données projet'!$B$62,AI38+AH39-AQ38)))</f>
        <v>165.1999999999999</v>
      </c>
      <c r="AJ39" s="13">
        <f>AI39*VLOOKUP('Données projet'!$B$10,Paramètres!$A$1:$I$89,3,0)*VLOOKUP('Données projet'!$B$10,Paramètres!$A$1:$I$89,5,0)</f>
        <v>144.31871999999993</v>
      </c>
      <c r="AK39" s="13">
        <f t="shared" si="35"/>
        <v>37.284607417926146</v>
      </c>
      <c r="AL39" s="20">
        <f t="shared" si="4"/>
        <v>316.29246191955457</v>
      </c>
      <c r="AM39" s="59">
        <f t="shared" si="5"/>
        <v>609.62579525288788</v>
      </c>
      <c r="AN39" s="59">
        <f ca="1">AVERAGE(OFFSET($AM$3,0,0,'Données projet'!$E$10+1,1))-AVERAGE(OFFSET($H$3,0,0,'Données projet'!$E$10+1,1))</f>
        <v>191.94797389630673</v>
      </c>
      <c r="AO39" s="59">
        <f t="shared" si="36"/>
        <v>273.52540822767878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11.895206047570122</v>
      </c>
      <c r="AW39" s="21">
        <f>EXP(-LN(2)/2)*AW38+(1-EXP(-LN(2)/2))/(LN(2)/2)*AQ39*AT39*VLOOKUP('Données projet'!$B$10,Paramètres!$A$1:$I$89,3,0)*0.475*44/12</f>
        <v>2.9003828649586718</v>
      </c>
      <c r="AX39" s="21">
        <f t="shared" si="6"/>
        <v>17.081791640950264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2.8421709430404007E-14</v>
      </c>
      <c r="BE39" s="13">
        <f>BD39*VLOOKUP('Données projet'!$B$11,Paramètres!$A$1:$I$89,3,0)*VLOOKUP('Données projet'!$B$11,Paramètres!$A$1:$I$89,5,0)</f>
        <v>1.8178525351686402E-14</v>
      </c>
      <c r="BF39" s="13">
        <f t="shared" si="37"/>
        <v>3.3304129621647644E-13</v>
      </c>
      <c r="BG39" s="20">
        <f t="shared" si="7"/>
        <v>6.1170785589788349E-13</v>
      </c>
      <c r="BH39" s="59">
        <f t="shared" si="8"/>
        <v>293.33333333333394</v>
      </c>
      <c r="BI39" s="59">
        <f ca="1">AVERAGE(OFFSET($BH$3,0,0,'Données projet'!$E$11+1,1))-AVERAGE(OFFSET($H$3,0,0,'Données projet'!$E$11+1,1))</f>
        <v>64.256756080189803</v>
      </c>
      <c r="BJ39" s="59">
        <f t="shared" si="38"/>
        <v>209.76343043971747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30.748569331422207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9.2313552886780115E-2</v>
      </c>
      <c r="BS39" s="22">
        <f t="shared" si="9"/>
        <v>30.840882884308986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17.3</v>
      </c>
      <c r="N40" s="13">
        <f>IF('Données projet'!$A$36&gt;35,N39+M40-V39,IF(A40&lt;'Données projet'!$A$36,$K$205^A40,IF(A40='Données projet'!$A$36,'Données projet'!$B$36,N39+M40-V39)))</f>
        <v>277.10000000000008</v>
      </c>
      <c r="O40" s="13">
        <f>N40*VLOOKUP('Données projet'!$B$9,Paramètres!$A$1:$I$89,3,0)*VLOOKUP('Données projet'!$B$9,Paramètres!$A$1:$I$89,5,0)</f>
        <v>154.89890000000005</v>
      </c>
      <c r="P40" s="13">
        <f t="shared" si="33"/>
        <v>39.689787391068471</v>
      </c>
      <c r="Q40" s="20">
        <f t="shared" si="53"/>
        <v>338.90863053944435</v>
      </c>
      <c r="R40" s="59">
        <f t="shared" si="0"/>
        <v>632.24196387277766</v>
      </c>
      <c r="S40" s="59">
        <f ca="1">AVERAGE(OFFSET($R$3,0,0,'Données projet'!$E$9+1,1))-AVERAGE(OFFSET($H$3,0,0,'Données projet'!$E$9+1,1))</f>
        <v>235.10258076192054</v>
      </c>
      <c r="T40" s="59">
        <f t="shared" si="34"/>
        <v>233.47316052603765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2.9824703904428329</v>
      </c>
      <c r="AA40" s="21">
        <f>EXP(-LN(2)/25)*AA39+(1-EXP(-LN(2)/25))/(LN(2)/25)*Calculateur!V40*Calculateur!X40*VLOOKUP('Données projet'!$B$9,Paramètres!$A$1:$I$89,3,0)*0.475*44/12</f>
        <v>15.182805401117745</v>
      </c>
      <c r="AB40" s="21">
        <f>EXP(-LN(2)/2)*AB39+(1-EXP(-LN(2)/2))/(LN(2)/2)*V40*Y40*VLOOKUP('Données projet'!$B$9,Paramètres!$A$1:$I$89,3,0)*0.475*44/12</f>
        <v>2.1321109453043179</v>
      </c>
      <c r="AC40" s="22">
        <f t="shared" si="3"/>
        <v>20.297386736864897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8.6999999999999993</v>
      </c>
      <c r="AI40" s="13">
        <f>IF('Données projet'!$A$62&gt;35,AI39+AH40-AQ39,IF(A40&lt;'Données projet'!$A$62,$AF$205^A40,IF(A40='Données projet'!$A$62,'Données projet'!$B$62,AI39+AH40-AQ39)))</f>
        <v>173.89999999999989</v>
      </c>
      <c r="AJ40" s="13">
        <f>AI40*VLOOKUP('Données projet'!$B$10,Paramètres!$A$1:$I$89,3,0)*VLOOKUP('Données projet'!$B$10,Paramètres!$A$1:$I$89,5,0)</f>
        <v>151.91903999999991</v>
      </c>
      <c r="AK40" s="13">
        <f t="shared" si="35"/>
        <v>39.014371161543409</v>
      </c>
      <c r="AL40" s="20">
        <f t="shared" si="4"/>
        <v>332.54235777302125</v>
      </c>
      <c r="AM40" s="59">
        <f t="shared" si="5"/>
        <v>625.87569110635457</v>
      </c>
      <c r="AN40" s="59">
        <f ca="1">AVERAGE(OFFSET($AM$3,0,0,'Données projet'!$E$10+1,1))-AVERAGE(OFFSET($H$3,0,0,'Données projet'!$E$10+1,1))</f>
        <v>191.94797389630673</v>
      </c>
      <c r="AO40" s="59">
        <f t="shared" si="36"/>
        <v>273.52540822767878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11.569931012657618</v>
      </c>
      <c r="AW40" s="21">
        <f>EXP(-LN(2)/2)*AW39+(1-EXP(-LN(2)/2))/(LN(2)/2)*AQ40*AT40*VLOOKUP('Données projet'!$B$10,Paramètres!$A$1:$I$89,3,0)*0.475*44/12</f>
        <v>2.0508803918495433</v>
      </c>
      <c r="AX40" s="21">
        <f t="shared" si="6"/>
        <v>15.862183091870261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2.8421709430404007E-14</v>
      </c>
      <c r="BE40" s="13">
        <f>BD40*VLOOKUP('Données projet'!$B$11,Paramètres!$A$1:$I$89,3,0)*VLOOKUP('Données projet'!$B$11,Paramètres!$A$1:$I$89,5,0)</f>
        <v>1.8178525351686402E-14</v>
      </c>
      <c r="BF40" s="13">
        <f t="shared" si="37"/>
        <v>3.3304129621647644E-13</v>
      </c>
      <c r="BG40" s="20">
        <f t="shared" si="7"/>
        <v>6.1170785589788349E-13</v>
      </c>
      <c r="BH40" s="59">
        <f t="shared" si="8"/>
        <v>293.33333333333394</v>
      </c>
      <c r="BI40" s="59">
        <f ca="1">AVERAGE(OFFSET($BH$3,0,0,'Données projet'!$E$11+1,1))-AVERAGE(OFFSET($H$3,0,0,'Données projet'!$E$11+1,1))</f>
        <v>64.256756080189803</v>
      </c>
      <c r="BJ40" s="59">
        <f t="shared" si="38"/>
        <v>209.76343043971747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30.14560864160843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6.5275539241665209E-2</v>
      </c>
      <c r="BS40" s="22">
        <f t="shared" si="9"/>
        <v>30.210884180850094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17.3</v>
      </c>
      <c r="N41" s="13">
        <f>IF('Données projet'!$A$36&gt;35,N40+M41-V40,IF(A41&lt;'Données projet'!$A$36,$K$205^A41,IF(A41='Données projet'!$A$36,'Données projet'!$B$36,N40+M41-V40)))</f>
        <v>294.40000000000009</v>
      </c>
      <c r="O41" s="13">
        <f>N41*VLOOKUP('Données projet'!$B$9,Paramètres!$A$1:$I$89,3,0)*VLOOKUP('Données projet'!$B$9,Paramètres!$A$1:$I$89,5,0)</f>
        <v>164.56960000000007</v>
      </c>
      <c r="P41" s="13">
        <f t="shared" si="33"/>
        <v>41.871506181639091</v>
      </c>
      <c r="Q41" s="20">
        <f t="shared" si="53"/>
        <v>359.55159326635481</v>
      </c>
      <c r="R41" s="59">
        <f t="shared" si="0"/>
        <v>652.88492659968813</v>
      </c>
      <c r="S41" s="59">
        <f ca="1">AVERAGE(OFFSET($R$3,0,0,'Données projet'!$E$9+1,1))-AVERAGE(OFFSET($H$3,0,0,'Données projet'!$E$9+1,1))</f>
        <v>235.10258076192054</v>
      </c>
      <c r="T41" s="59">
        <f t="shared" si="34"/>
        <v>233.47316052603765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2.9239859652135634</v>
      </c>
      <c r="AA41" s="21">
        <f>EXP(-LN(2)/25)*AA40+(1-EXP(-LN(2)/25))/(LN(2)/25)*Calculateur!V41*Calculateur!X41*VLOOKUP('Données projet'!$B$9,Paramètres!$A$1:$I$89,3,0)*0.475*44/12</f>
        <v>14.767630788995145</v>
      </c>
      <c r="AB41" s="21">
        <f>EXP(-LN(2)/2)*AB40+(1-EXP(-LN(2)/2))/(LN(2)/2)*V41*Y41*VLOOKUP('Données projet'!$B$9,Paramètres!$A$1:$I$89,3,0)*0.475*44/12</f>
        <v>1.5076301076667433</v>
      </c>
      <c r="AC41" s="22">
        <f t="shared" si="3"/>
        <v>19.199246861875451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8.6999999999999993</v>
      </c>
      <c r="AI41" s="13">
        <f>IF('Données projet'!$A$62&gt;35,AI40+AH41-AQ40,IF(A41&lt;'Données projet'!$A$62,$AF$205^A41,IF(A41='Données projet'!$A$62,'Données projet'!$B$62,AI40+AH41-AQ40)))</f>
        <v>182.59999999999988</v>
      </c>
      <c r="AJ41" s="13">
        <f>AI41*VLOOKUP('Données projet'!$B$10,Paramètres!$A$1:$I$89,3,0)*VLOOKUP('Données projet'!$B$10,Paramètres!$A$1:$I$89,5,0)</f>
        <v>159.51935999999992</v>
      </c>
      <c r="AK41" s="13">
        <f t="shared" si="35"/>
        <v>40.734086738277284</v>
      </c>
      <c r="AL41" s="20">
        <f t="shared" si="4"/>
        <v>348.77475306916608</v>
      </c>
      <c r="AM41" s="59">
        <f t="shared" si="5"/>
        <v>642.10808640249934</v>
      </c>
      <c r="AN41" s="59">
        <f ca="1">AVERAGE(OFFSET($AM$3,0,0,'Données projet'!$E$10+1,1))-AVERAGE(OFFSET($H$3,0,0,'Données projet'!$E$10+1,1))</f>
        <v>191.94797389630673</v>
      </c>
      <c r="AO41" s="59">
        <f t="shared" si="36"/>
        <v>273.52540822767878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11.253550640680267</v>
      </c>
      <c r="AW41" s="21">
        <f>EXP(-LN(2)/2)*AW40+(1-EXP(-LN(2)/2))/(LN(2)/2)*AQ41*AT41*VLOOKUP('Données projet'!$B$10,Paramètres!$A$1:$I$89,3,0)*0.475*44/12</f>
        <v>1.4501914324793359</v>
      </c>
      <c r="AX41" s="21">
        <f t="shared" si="6"/>
        <v>14.901161828835251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2.8421709430404007E-14</v>
      </c>
      <c r="BE41" s="13">
        <f>BD41*VLOOKUP('Données projet'!$B$11,Paramètres!$A$1:$I$89,3,0)*VLOOKUP('Données projet'!$B$11,Paramètres!$A$1:$I$89,5,0)</f>
        <v>1.8178525351686402E-14</v>
      </c>
      <c r="BF41" s="13">
        <f t="shared" si="37"/>
        <v>3.3304129621647644E-13</v>
      </c>
      <c r="BG41" s="20">
        <f t="shared" si="7"/>
        <v>6.1170785589788349E-13</v>
      </c>
      <c r="BH41" s="59">
        <f t="shared" si="8"/>
        <v>293.33333333333394</v>
      </c>
      <c r="BI41" s="59">
        <f ca="1">AVERAGE(OFFSET($BH$3,0,0,'Données projet'!$E$11+1,1))-AVERAGE(OFFSET($H$3,0,0,'Données projet'!$E$11+1,1))</f>
        <v>64.256756080189803</v>
      </c>
      <c r="BJ41" s="59">
        <f t="shared" si="38"/>
        <v>209.76343043971747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29.554471643152194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4.6156776443390057E-2</v>
      </c>
      <c r="BS41" s="22">
        <f t="shared" si="9"/>
        <v>29.600628419595584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17.3</v>
      </c>
      <c r="N42" s="13">
        <f>IF('Données projet'!$A$36&gt;35,N41+M42-V41,IF(A42&lt;'Données projet'!$A$36,$K$205^A42,IF(A42='Données projet'!$A$36,'Données projet'!$B$36,N41+M42-V41)))</f>
        <v>311.7000000000001</v>
      </c>
      <c r="O42" s="13">
        <f>N42*VLOOKUP('Données projet'!$B$9,Paramètres!$A$1:$I$89,3,0)*VLOOKUP('Données projet'!$B$9,Paramètres!$A$1:$I$89,5,0)</f>
        <v>174.24030000000005</v>
      </c>
      <c r="P42" s="13">
        <f t="shared" si="33"/>
        <v>44.038343719759652</v>
      </c>
      <c r="Q42" s="20">
        <f t="shared" si="53"/>
        <v>380.16863781191483</v>
      </c>
      <c r="R42" s="59">
        <f t="shared" si="0"/>
        <v>673.50197114524815</v>
      </c>
      <c r="S42" s="59">
        <f ca="1">AVERAGE(OFFSET($R$3,0,0,'Données projet'!$E$9+1,1))-AVERAGE(OFFSET($H$3,0,0,'Données projet'!$E$9+1,1))</f>
        <v>235.10258076192054</v>
      </c>
      <c r="T42" s="59">
        <f t="shared" si="34"/>
        <v>233.47316052603765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2.8666483838910626</v>
      </c>
      <c r="AA42" s="21">
        <f>EXP(-LN(2)/25)*AA41+(1-EXP(-LN(2)/25))/(LN(2)/25)*Calculateur!V42*Calculateur!X42*VLOOKUP('Données projet'!$B$9,Paramètres!$A$1:$I$89,3,0)*0.475*44/12</f>
        <v>14.363809148474122</v>
      </c>
      <c r="AB42" s="21">
        <f>EXP(-LN(2)/2)*AB41+(1-EXP(-LN(2)/2))/(LN(2)/2)*V42*Y42*VLOOKUP('Données projet'!$B$9,Paramètres!$A$1:$I$89,3,0)*0.475*44/12</f>
        <v>1.0660554726521589</v>
      </c>
      <c r="AC42" s="22">
        <f t="shared" si="3"/>
        <v>18.296513005017346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8.6999999999999993</v>
      </c>
      <c r="AI42" s="13">
        <f>IF('Données projet'!$A$62&gt;35,AI41+AH42-AQ41,IF(A42&lt;'Données projet'!$A$62,$AF$205^A42,IF(A42='Données projet'!$A$62,'Données projet'!$B$62,AI41+AH42-AQ41)))</f>
        <v>191.29999999999987</v>
      </c>
      <c r="AJ42" s="13">
        <f>AI42*VLOOKUP('Données projet'!$B$10,Paramètres!$A$1:$I$89,3,0)*VLOOKUP('Données projet'!$B$10,Paramètres!$A$1:$I$89,5,0)</f>
        <v>167.11967999999993</v>
      </c>
      <c r="AK42" s="13">
        <f t="shared" si="35"/>
        <v>42.444287553880535</v>
      </c>
      <c r="AL42" s="20">
        <f t="shared" si="4"/>
        <v>364.99057682300844</v>
      </c>
      <c r="AM42" s="59">
        <f t="shared" si="5"/>
        <v>658.32391015634175</v>
      </c>
      <c r="AN42" s="59">
        <f ca="1">AVERAGE(OFFSET($AM$3,0,0,'Données projet'!$E$10+1,1))-AVERAGE(OFFSET($H$3,0,0,'Données projet'!$E$10+1,1))</f>
        <v>191.94797389630673</v>
      </c>
      <c r="AO42" s="59">
        <f t="shared" si="36"/>
        <v>273.52540822767878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10.945821706612357</v>
      </c>
      <c r="AW42" s="21">
        <f>EXP(-LN(2)/2)*AW41+(1-EXP(-LN(2)/2))/(LN(2)/2)*AQ42*AT42*VLOOKUP('Données projet'!$B$10,Paramètres!$A$1:$I$89,3,0)*0.475*44/12</f>
        <v>1.0254401959247716</v>
      </c>
      <c r="AX42" s="21">
        <f t="shared" si="6"/>
        <v>14.125591597097683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2.8421709430404007E-14</v>
      </c>
      <c r="BE42" s="13">
        <f>BD42*VLOOKUP('Données projet'!$B$11,Paramètres!$A$1:$I$89,3,0)*VLOOKUP('Données projet'!$B$11,Paramètres!$A$1:$I$89,5,0)</f>
        <v>1.8178525351686402E-14</v>
      </c>
      <c r="BF42" s="13">
        <f t="shared" si="37"/>
        <v>3.3304129621647644E-13</v>
      </c>
      <c r="BG42" s="20">
        <f t="shared" si="7"/>
        <v>6.1170785589788349E-13</v>
      </c>
      <c r="BH42" s="59">
        <f t="shared" si="8"/>
        <v>293.33333333333394</v>
      </c>
      <c r="BI42" s="59">
        <f ca="1">AVERAGE(OFFSET($BH$3,0,0,'Données projet'!$E$11+1,1))-AVERAGE(OFFSET($H$3,0,0,'Données projet'!$E$11+1,1))</f>
        <v>64.256756080189803</v>
      </c>
      <c r="BJ42" s="59">
        <f t="shared" si="38"/>
        <v>209.76343043971747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28.974926480677716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3.2637769620832605E-2</v>
      </c>
      <c r="BS42" s="22">
        <f t="shared" si="9"/>
        <v>29.00756425029855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329</v>
      </c>
      <c r="L43" s="12">
        <f>VLOOKUP(A43,'Données projet'!$A$35:$I$55,9,0)</f>
        <v>17.3</v>
      </c>
      <c r="M43" s="12">
        <f t="array" ref="M43">INDEX(L:L,MIN(IF(ISNUMBER(L43:L239),ROW(L43:L239),"")))</f>
        <v>17.3</v>
      </c>
      <c r="N43" s="13">
        <f>IF('Données projet'!$A$36&gt;35,N42+M43-V42,IF(A43&lt;'Données projet'!$A$36,$K$205^A43,IF(A43='Données projet'!$A$36,'Données projet'!$B$36,N42+M43-V42)))</f>
        <v>329.00000000000011</v>
      </c>
      <c r="O43" s="13">
        <f>N43*VLOOKUP('Données projet'!$B$9,Paramètres!$A$1:$I$89,3,0)*VLOOKUP('Données projet'!$B$9,Paramètres!$A$1:$I$89,5,0)</f>
        <v>183.91100000000009</v>
      </c>
      <c r="P43" s="13">
        <f t="shared" si="33"/>
        <v>46.191220083623499</v>
      </c>
      <c r="Q43" s="20">
        <f t="shared" si="53"/>
        <v>400.76136664564439</v>
      </c>
      <c r="R43" s="59">
        <f t="shared" si="0"/>
        <v>694.0946999789777</v>
      </c>
      <c r="S43" s="59">
        <f ca="1">AVERAGE(OFFSET($R$3,0,0,'Données projet'!$E$9+1,1))-AVERAGE(OFFSET($H$3,0,0,'Données projet'!$E$9+1,1))</f>
        <v>235.10258076192054</v>
      </c>
      <c r="T43" s="59">
        <f t="shared" si="34"/>
        <v>233.47316052603765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2.8104351575658248</v>
      </c>
      <c r="AA43" s="21">
        <f>EXP(-LN(2)/25)*AA42+(1-EXP(-LN(2)/25))/(LN(2)/25)*Calculateur!V43*Calculateur!X43*VLOOKUP('Données projet'!$B$9,Paramètres!$A$1:$I$89,3,0)*0.475*44/12</f>
        <v>13.971030031949203</v>
      </c>
      <c r="AB43" s="21">
        <f>EXP(-LN(2)/2)*AB42+(1-EXP(-LN(2)/2))/(LN(2)/2)*V43*Y43*VLOOKUP('Données projet'!$B$9,Paramètres!$A$1:$I$89,3,0)*0.475*44/12</f>
        <v>0.75381505383337166</v>
      </c>
      <c r="AC43" s="22">
        <f t="shared" si="3"/>
        <v>17.535280243348399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200</v>
      </c>
      <c r="AG43" s="12">
        <f>VLOOKUP(A43,'Données projet'!$A$61:$I$81,9,0)</f>
        <v>8.6999999999999993</v>
      </c>
      <c r="AH43" s="12">
        <f t="array" ref="AH43">INDEX(AG:AG,MIN(IF(ISNUMBER(AG43:AG239),ROW(AG43:AG239),"")))</f>
        <v>8.6999999999999993</v>
      </c>
      <c r="AI43" s="13">
        <f>IF('Données projet'!$A$62&gt;35,AI42+AH43-AQ42,IF(A43&lt;'Données projet'!$A$62,$AF$205^A43,IF(A43='Données projet'!$A$62,'Données projet'!$B$62,AI42+AH43-AQ42)))</f>
        <v>199.99999999999986</v>
      </c>
      <c r="AJ43" s="13">
        <f>AI43*VLOOKUP('Données projet'!$B$10,Paramètres!$A$1:$I$89,3,0)*VLOOKUP('Données projet'!$B$10,Paramètres!$A$1:$I$89,5,0)</f>
        <v>174.71999999999989</v>
      </c>
      <c r="AK43" s="13">
        <f t="shared" si="35"/>
        <v>44.145455754865203</v>
      </c>
      <c r="AL43" s="20">
        <f t="shared" si="4"/>
        <v>381.19066877305664</v>
      </c>
      <c r="AM43" s="59">
        <f t="shared" si="5"/>
        <v>674.52400210638996</v>
      </c>
      <c r="AN43" s="59">
        <f ca="1">AVERAGE(OFFSET($AM$3,0,0,'Données projet'!$E$10+1,1))-AVERAGE(OFFSET($H$3,0,0,'Données projet'!$E$10+1,1))</f>
        <v>191.94797389630673</v>
      </c>
      <c r="AO43" s="59">
        <f t="shared" si="36"/>
        <v>273.52540822767878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10.646507636429295</v>
      </c>
      <c r="AW43" s="21">
        <f>EXP(-LN(2)/2)*AW42+(1-EXP(-LN(2)/2))/(LN(2)/2)*AQ43*AT43*VLOOKUP('Données projet'!$B$10,Paramètres!$A$1:$I$89,3,0)*0.475*44/12</f>
        <v>0.72509571623966795</v>
      </c>
      <c r="AX43" s="21">
        <f t="shared" si="6"/>
        <v>13.483687955930552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2.8421709430404007E-14</v>
      </c>
      <c r="BE43" s="13">
        <f>BD43*VLOOKUP('Données projet'!$B$11,Paramètres!$A$1:$I$89,3,0)*VLOOKUP('Données projet'!$B$11,Paramètres!$A$1:$I$89,5,0)</f>
        <v>1.8178525351686402E-14</v>
      </c>
      <c r="BF43" s="13">
        <f t="shared" si="37"/>
        <v>3.3304129621647644E-13</v>
      </c>
      <c r="BG43" s="20">
        <f t="shared" si="7"/>
        <v>6.1170785589788349E-13</v>
      </c>
      <c r="BH43" s="59">
        <f t="shared" si="8"/>
        <v>293.33333333333394</v>
      </c>
      <c r="BI43" s="59">
        <f ca="1">AVERAGE(OFFSET($BH$3,0,0,'Données projet'!$E$11+1,1))-AVERAGE(OFFSET($H$3,0,0,'Données projet'!$E$11+1,1))</f>
        <v>64.256756080189803</v>
      </c>
      <c r="BJ43" s="59">
        <f t="shared" si="38"/>
        <v>209.76343043971747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28.406745845351718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2.3078388221695029E-2</v>
      </c>
      <c r="BS43" s="22">
        <f t="shared" si="9"/>
        <v>28.429824233573413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15.5</v>
      </c>
      <c r="N44" s="13">
        <f>IF('Données projet'!$A$36&gt;35,N43+M44-V43,IF(A44&lt;'Données projet'!$A$36,$K$205^A44,IF(A44='Données projet'!$A$36,'Données projet'!$B$36,N43+M44-V43)))</f>
        <v>260.50000000000011</v>
      </c>
      <c r="O44" s="13">
        <f>N44*VLOOKUP('Données projet'!$B$9,Paramètres!$A$1:$I$89,3,0)*VLOOKUP('Données projet'!$B$9,Paramètres!$A$1:$I$89,5,0)</f>
        <v>145.61950000000007</v>
      </c>
      <c r="P44" s="13">
        <f t="shared" si="33"/>
        <v>37.581390641176142</v>
      </c>
      <c r="Q44" s="20">
        <f t="shared" si="53"/>
        <v>319.07488453338192</v>
      </c>
      <c r="R44" s="59">
        <f t="shared" si="0"/>
        <v>612.40821786671518</v>
      </c>
      <c r="S44" s="59">
        <f ca="1">AVERAGE(OFFSET($R$3,0,0,'Données projet'!$E$9+1,1))-AVERAGE(OFFSET($H$3,0,0,'Données projet'!$E$9+1,1))</f>
        <v>235.10258076192054</v>
      </c>
      <c r="T44" s="59">
        <f t="shared" si="34"/>
        <v>233.47316052603765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2.7553242383221423</v>
      </c>
      <c r="AA44" s="21">
        <f>EXP(-LN(2)/25)*AA43+(1-EXP(-LN(2)/25))/(LN(2)/25)*Calculateur!V44*Calculateur!X44*VLOOKUP('Données projet'!$B$9,Paramètres!$A$1:$I$89,3,0)*0.475*44/12</f>
        <v>13.588991481021013</v>
      </c>
      <c r="AB44" s="21">
        <f>EXP(-LN(2)/2)*AB43+(1-EXP(-LN(2)/2))/(LN(2)/2)*V44*Y44*VLOOKUP('Données projet'!$B$9,Paramètres!$A$1:$I$89,3,0)*0.475*44/12</f>
        <v>0.53302773632607947</v>
      </c>
      <c r="AC44" s="22">
        <f t="shared" si="3"/>
        <v>16.877343455669237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7.2</v>
      </c>
      <c r="AI44" s="13">
        <f>IF('Données projet'!$A$62&gt;35,AI43+AH44-AQ43,IF(A44&lt;'Données projet'!$A$62,$AF$205^A44,IF(A44='Données projet'!$A$62,'Données projet'!$B$62,AI43+AH44-AQ43)))</f>
        <v>149.19999999999985</v>
      </c>
      <c r="AJ44" s="13">
        <f>AI44*VLOOKUP('Données projet'!$B$10,Paramètres!$A$1:$I$89,3,0)*VLOOKUP('Données projet'!$B$10,Paramètres!$A$1:$I$89,5,0)</f>
        <v>130.34111999999988</v>
      </c>
      <c r="AK44" s="13">
        <f t="shared" si="35"/>
        <v>34.075170122989881</v>
      </c>
      <c r="AL44" s="20">
        <f t="shared" si="4"/>
        <v>286.35837196420709</v>
      </c>
      <c r="AM44" s="59">
        <f t="shared" si="5"/>
        <v>579.69170529754047</v>
      </c>
      <c r="AN44" s="59">
        <f ca="1">AVERAGE(OFFSET($AM$3,0,0,'Données projet'!$E$10+1,1))-AVERAGE(OFFSET($H$3,0,0,'Données projet'!$E$10+1,1))</f>
        <v>191.94797389630673</v>
      </c>
      <c r="AO44" s="59">
        <f t="shared" si="36"/>
        <v>273.52540822767878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10.355378325235632</v>
      </c>
      <c r="AW44" s="21">
        <f>EXP(-LN(2)/2)*AW43+(1-EXP(-LN(2)/2))/(LN(2)/2)*AQ44*AT44*VLOOKUP('Données projet'!$B$10,Paramètres!$A$1:$I$89,3,0)*0.475*44/12</f>
        <v>0.51272009796238582</v>
      </c>
      <c r="AX44" s="21">
        <f t="shared" si="6"/>
        <v>12.938766335634053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2.8421709430404007E-14</v>
      </c>
      <c r="BE44" s="13">
        <f>BD44*VLOOKUP('Données projet'!$B$11,Paramètres!$A$1:$I$89,3,0)*VLOOKUP('Données projet'!$B$11,Paramètres!$A$1:$I$89,5,0)</f>
        <v>1.8178525351686402E-14</v>
      </c>
      <c r="BF44" s="13">
        <f t="shared" si="37"/>
        <v>3.3304129621647644E-13</v>
      </c>
      <c r="BG44" s="20">
        <f t="shared" si="7"/>
        <v>6.1170785589788349E-13</v>
      </c>
      <c r="BH44" s="59">
        <f t="shared" si="8"/>
        <v>293.33333333333394</v>
      </c>
      <c r="BI44" s="59">
        <f ca="1">AVERAGE(OFFSET($BH$3,0,0,'Données projet'!$E$11+1,1))-AVERAGE(OFFSET($H$3,0,0,'Données projet'!$E$11+1,1))</f>
        <v>64.256756080189803</v>
      </c>
      <c r="BJ44" s="59">
        <f t="shared" si="38"/>
        <v>209.76343043971747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27.849706885728498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1.6318884810416302E-2</v>
      </c>
      <c r="BS44" s="22">
        <f t="shared" si="9"/>
        <v>27.866025770538915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15.5</v>
      </c>
      <c r="N45" s="13">
        <f>IF('Données projet'!$A$36&gt;35,N44+M45-V44,IF(A45&lt;'Données projet'!$A$36,$K$205^A45,IF(A45='Données projet'!$A$36,'Données projet'!$B$36,N44+M45-V44)))</f>
        <v>276.00000000000011</v>
      </c>
      <c r="O45" s="13">
        <f>N45*VLOOKUP('Données projet'!$B$9,Paramètres!$A$1:$I$89,3,0)*VLOOKUP('Données projet'!$B$9,Paramètres!$A$1:$I$89,5,0)</f>
        <v>154.28400000000008</v>
      </c>
      <c r="P45" s="13">
        <f t="shared" si="33"/>
        <v>39.550538702561035</v>
      </c>
      <c r="Q45" s="20">
        <f t="shared" si="53"/>
        <v>337.59515490696054</v>
      </c>
      <c r="R45" s="59">
        <f t="shared" si="0"/>
        <v>630.92848824029386</v>
      </c>
      <c r="S45" s="59">
        <f ca="1">AVERAGE(OFFSET($R$3,0,0,'Données projet'!$E$9+1,1))-AVERAGE(OFFSET($H$3,0,0,'Données projet'!$E$9+1,1))</f>
        <v>235.10258076192054</v>
      </c>
      <c r="T45" s="59">
        <f t="shared" si="34"/>
        <v>233.47316052603765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2.701294010590487</v>
      </c>
      <c r="AA45" s="21">
        <f>EXP(-LN(2)/25)*AA44+(1-EXP(-LN(2)/25))/(LN(2)/25)*Calculateur!V45*Calculateur!X45*VLOOKUP('Données projet'!$B$9,Paramètres!$A$1:$I$89,3,0)*0.475*44/12</f>
        <v>13.21739979435849</v>
      </c>
      <c r="AB45" s="21">
        <f>EXP(-LN(2)/2)*AB44+(1-EXP(-LN(2)/2))/(LN(2)/2)*V45*Y45*VLOOKUP('Données projet'!$B$9,Paramètres!$A$1:$I$89,3,0)*0.475*44/12</f>
        <v>0.37690752691668583</v>
      </c>
      <c r="AC45" s="22">
        <f t="shared" si="3"/>
        <v>16.295601331865665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7.2</v>
      </c>
      <c r="AI45" s="13">
        <f>IF('Données projet'!$A$62&gt;35,AI44+AH45-AQ44,IF(A45&lt;'Données projet'!$A$62,$AF$205^A45,IF(A45='Données projet'!$A$62,'Données projet'!$B$62,AI44+AH45-AQ44)))</f>
        <v>156.39999999999984</v>
      </c>
      <c r="AJ45" s="13">
        <f>AI45*VLOOKUP('Données projet'!$B$10,Paramètres!$A$1:$I$89,3,0)*VLOOKUP('Données projet'!$B$10,Paramètres!$A$1:$I$89,5,0)</f>
        <v>136.63103999999987</v>
      </c>
      <c r="AK45" s="13">
        <f t="shared" si="35"/>
        <v>35.524133363879926</v>
      </c>
      <c r="AL45" s="20">
        <f t="shared" si="4"/>
        <v>299.8369269420906</v>
      </c>
      <c r="AM45" s="59">
        <f t="shared" si="5"/>
        <v>593.17026027542397</v>
      </c>
      <c r="AN45" s="59">
        <f ca="1">AVERAGE(OFFSET($AM$3,0,0,'Données projet'!$E$10+1,1))-AVERAGE(OFFSET($H$3,0,0,'Données projet'!$E$10+1,1))</f>
        <v>191.94797389630673</v>
      </c>
      <c r="AO45" s="59">
        <f t="shared" si="36"/>
        <v>273.52540822767878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10.072209960366385</v>
      </c>
      <c r="AW45" s="21">
        <f>EXP(-LN(2)/2)*AW44+(1-EXP(-LN(2)/2))/(LN(2)/2)*AQ45*AT45*VLOOKUP('Données projet'!$B$10,Paramètres!$A$1:$I$89,3,0)*0.475*44/12</f>
        <v>0.36254785811983398</v>
      </c>
      <c r="AX45" s="21">
        <f t="shared" si="6"/>
        <v>12.4648211961421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2.8421709430404007E-14</v>
      </c>
      <c r="BE45" s="13">
        <f>BD45*VLOOKUP('Données projet'!$B$11,Paramètres!$A$1:$I$89,3,0)*VLOOKUP('Données projet'!$B$11,Paramètres!$A$1:$I$89,5,0)</f>
        <v>1.8178525351686402E-14</v>
      </c>
      <c r="BF45" s="13">
        <f t="shared" si="37"/>
        <v>3.3304129621647644E-13</v>
      </c>
      <c r="BG45" s="20">
        <f t="shared" si="7"/>
        <v>6.1170785589788349E-13</v>
      </c>
      <c r="BH45" s="59">
        <f t="shared" si="8"/>
        <v>293.33333333333394</v>
      </c>
      <c r="BI45" s="59">
        <f ca="1">AVERAGE(OFFSET($BH$3,0,0,'Données projet'!$E$11+1,1))-AVERAGE(OFFSET($H$3,0,0,'Données projet'!$E$11+1,1))</f>
        <v>64.256756080189803</v>
      </c>
      <c r="BJ45" s="59">
        <f t="shared" si="38"/>
        <v>209.76343043971747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27.30359112034327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1.1539194110847514E-2</v>
      </c>
      <c r="BS45" s="22">
        <f t="shared" si="9"/>
        <v>27.31513031445412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15.5</v>
      </c>
      <c r="N46" s="13">
        <f>IF('Données projet'!$A$36&gt;35,N45+M46-V45,IF(A46&lt;'Données projet'!$A$36,$K$205^A46,IF(A46='Données projet'!$A$36,'Données projet'!$B$36,N45+M46-V45)))</f>
        <v>291.50000000000011</v>
      </c>
      <c r="O46" s="13">
        <f>N46*VLOOKUP('Données projet'!$B$9,Paramètres!$A$1:$I$89,3,0)*VLOOKUP('Données projet'!$B$9,Paramètres!$A$1:$I$89,5,0)</f>
        <v>162.94850000000005</v>
      </c>
      <c r="P46" s="13">
        <f t="shared" si="33"/>
        <v>41.506849386988783</v>
      </c>
      <c r="Q46" s="20">
        <f t="shared" si="53"/>
        <v>356.09306684900554</v>
      </c>
      <c r="R46" s="59">
        <f t="shared" si="0"/>
        <v>649.42640018233885</v>
      </c>
      <c r="S46" s="59">
        <f ca="1">AVERAGE(OFFSET($R$3,0,0,'Données projet'!$E$9+1,1))-AVERAGE(OFFSET($H$3,0,0,'Données projet'!$E$9+1,1))</f>
        <v>235.10258076192054</v>
      </c>
      <c r="T46" s="59">
        <f t="shared" si="34"/>
        <v>233.47316052603765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2.6483232826694643</v>
      </c>
      <c r="AA46" s="21">
        <f>EXP(-LN(2)/25)*AA45+(1-EXP(-LN(2)/25))/(LN(2)/25)*Calculateur!V46*Calculateur!X46*VLOOKUP('Données projet'!$B$9,Paramètres!$A$1:$I$89,3,0)*0.475*44/12</f>
        <v>12.85596930190891</v>
      </c>
      <c r="AB46" s="21">
        <f>EXP(-LN(2)/2)*AB45+(1-EXP(-LN(2)/2))/(LN(2)/2)*V46*Y46*VLOOKUP('Données projet'!$B$9,Paramètres!$A$1:$I$89,3,0)*0.475*44/12</f>
        <v>0.26651386816303974</v>
      </c>
      <c r="AC46" s="22">
        <f t="shared" si="3"/>
        <v>15.770806452741414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7.2</v>
      </c>
      <c r="AI46" s="13">
        <f>IF('Données projet'!$A$62&gt;35,AI45+AH46-AQ45,IF(A46&lt;'Données projet'!$A$62,$AF$205^A46,IF(A46='Données projet'!$A$62,'Données projet'!$B$62,AI45+AH46-AQ45)))</f>
        <v>163.59999999999982</v>
      </c>
      <c r="AJ46" s="13">
        <f>AI46*VLOOKUP('Données projet'!$B$10,Paramètres!$A$1:$I$89,3,0)*VLOOKUP('Données projet'!$B$10,Paramètres!$A$1:$I$89,5,0)</f>
        <v>142.92095999999987</v>
      </c>
      <c r="AK46" s="13">
        <f t="shared" si="35"/>
        <v>36.965350113713619</v>
      </c>
      <c r="AL46" s="20">
        <f t="shared" si="4"/>
        <v>313.30199011471763</v>
      </c>
      <c r="AM46" s="59">
        <f t="shared" si="5"/>
        <v>606.63532344805094</v>
      </c>
      <c r="AN46" s="59">
        <f ca="1">AVERAGE(OFFSET($AM$3,0,0,'Données projet'!$E$10+1,1))-AVERAGE(OFFSET($H$3,0,0,'Données projet'!$E$10+1,1))</f>
        <v>191.94797389630673</v>
      </c>
      <c r="AO46" s="59">
        <f t="shared" si="36"/>
        <v>273.52540822767878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9.7967848493256646</v>
      </c>
      <c r="AW46" s="21">
        <f>EXP(-LN(2)/2)*AW45+(1-EXP(-LN(2)/2))/(LN(2)/2)*AQ46*AT46*VLOOKUP('Données projet'!$B$10,Paramètres!$A$1:$I$89,3,0)*0.475*44/12</f>
        <v>0.25636004898119291</v>
      </c>
      <c r="AX46" s="21">
        <f t="shared" si="6"/>
        <v>12.043399971343304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2.8421709430404007E-14</v>
      </c>
      <c r="BE46" s="13">
        <f>BD46*VLOOKUP('Données projet'!$B$11,Paramètres!$A$1:$I$89,3,0)*VLOOKUP('Données projet'!$B$11,Paramètres!$A$1:$I$89,5,0)</f>
        <v>1.8178525351686402E-14</v>
      </c>
      <c r="BF46" s="13">
        <f t="shared" si="37"/>
        <v>3.3304129621647644E-13</v>
      </c>
      <c r="BG46" s="20">
        <f t="shared" si="7"/>
        <v>6.1170785589788349E-13</v>
      </c>
      <c r="BH46" s="59">
        <f t="shared" si="8"/>
        <v>293.33333333333394</v>
      </c>
      <c r="BI46" s="59">
        <f ca="1">AVERAGE(OFFSET($BH$3,0,0,'Données projet'!$E$11+1,1))-AVERAGE(OFFSET($H$3,0,0,'Données projet'!$E$11+1,1))</f>
        <v>64.256756080189803</v>
      </c>
      <c r="BJ46" s="59">
        <f t="shared" si="38"/>
        <v>209.76343043971747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26.768184352019521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8.1594424052081511E-3</v>
      </c>
      <c r="BS46" s="22">
        <f t="shared" si="9"/>
        <v>26.776343794424729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15.5</v>
      </c>
      <c r="N47" s="13">
        <f>IF('Données projet'!$A$36&gt;35,N46+M47-V46,IF(A47&lt;'Données projet'!$A$36,$K$205^A47,IF(A47='Données projet'!$A$36,'Données projet'!$B$36,N46+M47-V46)))</f>
        <v>307.00000000000011</v>
      </c>
      <c r="O47" s="13">
        <f>N47*VLOOKUP('Données projet'!$B$9,Paramètres!$A$1:$I$89,3,0)*VLOOKUP('Données projet'!$B$9,Paramètres!$A$1:$I$89,5,0)</f>
        <v>171.61300000000006</v>
      </c>
      <c r="P47" s="13">
        <f t="shared" si="33"/>
        <v>43.451083136311397</v>
      </c>
      <c r="Q47" s="20">
        <f t="shared" si="53"/>
        <v>374.56994479574246</v>
      </c>
      <c r="R47" s="59">
        <f t="shared" si="0"/>
        <v>667.90327812907572</v>
      </c>
      <c r="S47" s="59">
        <f ca="1">AVERAGE(OFFSET($R$3,0,0,'Données projet'!$E$9+1,1))-AVERAGE(OFFSET($H$3,0,0,'Données projet'!$E$9+1,1))</f>
        <v>235.10258076192054</v>
      </c>
      <c r="T47" s="59">
        <f t="shared" si="34"/>
        <v>233.47316052603765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2.5963912784140191</v>
      </c>
      <c r="AA47" s="21">
        <f>EXP(-LN(2)/25)*AA46+(1-EXP(-LN(2)/25))/(LN(2)/25)*Calculateur!V47*Calculateur!X47*VLOOKUP('Données projet'!$B$9,Paramètres!$A$1:$I$89,3,0)*0.475*44/12</f>
        <v>12.504422145282168</v>
      </c>
      <c r="AB47" s="21">
        <f>EXP(-LN(2)/2)*AB46+(1-EXP(-LN(2)/2))/(LN(2)/2)*V47*Y47*VLOOKUP('Données projet'!$B$9,Paramètres!$A$1:$I$89,3,0)*0.475*44/12</f>
        <v>0.18845376345834292</v>
      </c>
      <c r="AC47" s="22">
        <f t="shared" si="3"/>
        <v>15.289267187154531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7.2</v>
      </c>
      <c r="AI47" s="13">
        <f>IF('Données projet'!$A$62&gt;35,AI46+AH47-AQ46,IF(A47&lt;'Données projet'!$A$62,$AF$205^A47,IF(A47='Données projet'!$A$62,'Données projet'!$B$62,AI46+AH47-AQ46)))</f>
        <v>170.79999999999981</v>
      </c>
      <c r="AJ47" s="13">
        <f>AI47*VLOOKUP('Données projet'!$B$10,Paramètres!$A$1:$I$89,3,0)*VLOOKUP('Données projet'!$B$10,Paramètres!$A$1:$I$89,5,0)</f>
        <v>149.21087999999986</v>
      </c>
      <c r="AK47" s="13">
        <f t="shared" si="35"/>
        <v>38.399200254302187</v>
      </c>
      <c r="AL47" s="20">
        <f t="shared" si="4"/>
        <v>326.754223109576</v>
      </c>
      <c r="AM47" s="59">
        <f t="shared" si="5"/>
        <v>620.08755644290932</v>
      </c>
      <c r="AN47" s="59">
        <f ca="1">AVERAGE(OFFSET($AM$3,0,0,'Données projet'!$E$10+1,1))-AVERAGE(OFFSET($H$3,0,0,'Données projet'!$E$10+1,1))</f>
        <v>191.94797389630673</v>
      </c>
      <c r="AO47" s="59">
        <f t="shared" si="36"/>
        <v>273.52540822767878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9.5288912524303306</v>
      </c>
      <c r="AW47" s="21">
        <f>EXP(-LN(2)/2)*AW46+(1-EXP(-LN(2)/2))/(LN(2)/2)*AQ47*AT47*VLOOKUP('Données projet'!$B$10,Paramètres!$A$1:$I$89,3,0)*0.475*44/12</f>
        <v>0.18127392905991699</v>
      </c>
      <c r="AX47" s="21">
        <f t="shared" si="6"/>
        <v>11.661392566480178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2.8421709430404007E-14</v>
      </c>
      <c r="BE47" s="13">
        <f>BD47*VLOOKUP('Données projet'!$B$11,Paramètres!$A$1:$I$89,3,0)*VLOOKUP('Données projet'!$B$11,Paramètres!$A$1:$I$89,5,0)</f>
        <v>1.8178525351686402E-14</v>
      </c>
      <c r="BF47" s="13">
        <f t="shared" si="37"/>
        <v>3.3304129621647644E-13</v>
      </c>
      <c r="BG47" s="20">
        <f t="shared" si="7"/>
        <v>6.1170785589788349E-13</v>
      </c>
      <c r="BH47" s="59">
        <f t="shared" si="8"/>
        <v>293.33333333333394</v>
      </c>
      <c r="BI47" s="59">
        <f ca="1">AVERAGE(OFFSET($BH$3,0,0,'Données projet'!$E$11+1,1))-AVERAGE(OFFSET($H$3,0,0,'Données projet'!$E$11+1,1))</f>
        <v>64.256756080189803</v>
      </c>
      <c r="BJ47" s="59">
        <f t="shared" si="38"/>
        <v>209.76343043971747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26.243276583856716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5.7695970554237572E-3</v>
      </c>
      <c r="BS47" s="22">
        <f t="shared" si="9"/>
        <v>26.249046180912138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15.5</v>
      </c>
      <c r="N48" s="13">
        <f>IF('Données projet'!$A$36&gt;35,N47+M48-V47,IF(A48&lt;'Données projet'!$A$36,$K$205^A48,IF(A48='Données projet'!$A$36,'Données projet'!$B$36,N47+M48-V47)))</f>
        <v>322.50000000000011</v>
      </c>
      <c r="O48" s="13">
        <f>N48*VLOOKUP('Données projet'!$B$9,Paramètres!$A$1:$I$89,3,0)*VLOOKUP('Données projet'!$B$9,Paramètres!$A$1:$I$89,5,0)</f>
        <v>180.27750000000006</v>
      </c>
      <c r="P48" s="13">
        <f t="shared" si="33"/>
        <v>45.383919267606096</v>
      </c>
      <c r="Q48" s="20">
        <f t="shared" si="53"/>
        <v>393.02697189108068</v>
      </c>
      <c r="R48" s="59">
        <f t="shared" si="0"/>
        <v>686.36030522441399</v>
      </c>
      <c r="S48" s="59">
        <f ca="1">AVERAGE(OFFSET($R$3,0,0,'Données projet'!$E$9+1,1))-AVERAGE(OFFSET($H$3,0,0,'Données projet'!$E$9+1,1))</f>
        <v>235.10258076192054</v>
      </c>
      <c r="T48" s="59">
        <f t="shared" si="34"/>
        <v>233.47316052603765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2.5454776290866281</v>
      </c>
      <c r="AA48" s="21">
        <f>EXP(-LN(2)/25)*AA47+(1-EXP(-LN(2)/25))/(LN(2)/25)*Calculateur!V48*Calculateur!X48*VLOOKUP('Données projet'!$B$9,Paramètres!$A$1:$I$89,3,0)*0.475*44/12</f>
        <v>12.162488064140446</v>
      </c>
      <c r="AB48" s="21">
        <f>EXP(-LN(2)/2)*AB47+(1-EXP(-LN(2)/2))/(LN(2)/2)*V48*Y48*VLOOKUP('Données projet'!$B$9,Paramètres!$A$1:$I$89,3,0)*0.475*44/12</f>
        <v>0.13325693408151987</v>
      </c>
      <c r="AC48" s="22">
        <f t="shared" si="3"/>
        <v>14.841222627308593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7.2</v>
      </c>
      <c r="AI48" s="13">
        <f>IF('Données projet'!$A$62&gt;35,AI47+AH48-AQ47,IF(A48&lt;'Données projet'!$A$62,$AF$205^A48,IF(A48='Données projet'!$A$62,'Données projet'!$B$62,AI47+AH48-AQ47)))</f>
        <v>177.9999999999998</v>
      </c>
      <c r="AJ48" s="13">
        <f>AI48*VLOOKUP('Données projet'!$B$10,Paramètres!$A$1:$I$89,3,0)*VLOOKUP('Données projet'!$B$10,Paramètres!$A$1:$I$89,5,0)</f>
        <v>155.50079999999983</v>
      </c>
      <c r="AK48" s="13">
        <f t="shared" si="35"/>
        <v>39.826029828200298</v>
      </c>
      <c r="AL48" s="20">
        <f t="shared" si="4"/>
        <v>340.19422861744857</v>
      </c>
      <c r="AM48" s="59">
        <f t="shared" si="5"/>
        <v>633.52756195078189</v>
      </c>
      <c r="AN48" s="59">
        <f ca="1">AVERAGE(OFFSET($AM$3,0,0,'Données projet'!$E$10+1,1))-AVERAGE(OFFSET($H$3,0,0,'Données projet'!$E$10+1,1))</f>
        <v>191.94797389630673</v>
      </c>
      <c r="AO48" s="59">
        <f t="shared" si="36"/>
        <v>273.52540822767878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9.2683232200300107</v>
      </c>
      <c r="AW48" s="21">
        <f>EXP(-LN(2)/2)*AW47+(1-EXP(-LN(2)/2))/(LN(2)/2)*AQ48*AT48*VLOOKUP('Données projet'!$B$10,Paramètres!$A$1:$I$89,3,0)*0.475*44/12</f>
        <v>0.12818002449059646</v>
      </c>
      <c r="AX48" s="21">
        <f t="shared" si="6"/>
        <v>11.309468250622075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2.8421709430404007E-14</v>
      </c>
      <c r="BE48" s="13">
        <f>BD48*VLOOKUP('Données projet'!$B$11,Paramètres!$A$1:$I$89,3,0)*VLOOKUP('Données projet'!$B$11,Paramètres!$A$1:$I$89,5,0)</f>
        <v>1.8178525351686402E-14</v>
      </c>
      <c r="BF48" s="13">
        <f t="shared" si="37"/>
        <v>3.3304129621647644E-13</v>
      </c>
      <c r="BG48" s="20">
        <f t="shared" si="7"/>
        <v>6.1170785589788349E-13</v>
      </c>
      <c r="BH48" s="59">
        <f t="shared" si="8"/>
        <v>293.33333333333394</v>
      </c>
      <c r="BI48" s="59">
        <f ca="1">AVERAGE(OFFSET($BH$3,0,0,'Données projet'!$E$11+1,1))-AVERAGE(OFFSET($H$3,0,0,'Données projet'!$E$11+1,1))</f>
        <v>64.256756080189803</v>
      </c>
      <c r="BJ48" s="59">
        <f t="shared" si="38"/>
        <v>209.76343043971747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25.728661936865461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4.0797212026040756E-3</v>
      </c>
      <c r="BS48" s="22">
        <f t="shared" si="9"/>
        <v>25.732741658068065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15.5</v>
      </c>
      <c r="N49" s="13">
        <f>IF('Données projet'!$A$36&gt;35,N48+M49-V48,IF(A49&lt;'Données projet'!$A$36,$K$205^A49,IF(A49='Données projet'!$A$36,'Données projet'!$B$36,N48+M49-V48)))</f>
        <v>338.00000000000011</v>
      </c>
      <c r="O49" s="13">
        <f>N49*VLOOKUP('Données projet'!$B$9,Paramètres!$A$1:$I$89,3,0)*VLOOKUP('Données projet'!$B$9,Paramètres!$A$1:$I$89,5,0)</f>
        <v>188.94200000000009</v>
      </c>
      <c r="P49" s="13">
        <f t="shared" si="33"/>
        <v>47.305968109740604</v>
      </c>
      <c r="Q49" s="20">
        <f t="shared" si="53"/>
        <v>411.46521112446504</v>
      </c>
      <c r="R49" s="59">
        <f t="shared" si="0"/>
        <v>704.79854445779836</v>
      </c>
      <c r="S49" s="59">
        <f ca="1">AVERAGE(OFFSET($R$3,0,0,'Données projet'!$E$9+1,1))-AVERAGE(OFFSET($H$3,0,0,'Données projet'!$E$9+1,1))</f>
        <v>235.10258076192054</v>
      </c>
      <c r="T49" s="59">
        <f t="shared" si="34"/>
        <v>233.47316052603765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2.4955623653682877</v>
      </c>
      <c r="AA49" s="21">
        <f>EXP(-LN(2)/25)*AA48+(1-EXP(-LN(2)/25))/(LN(2)/25)*Calculateur!V49*Calculateur!X49*VLOOKUP('Données projet'!$B$9,Paramètres!$A$1:$I$89,3,0)*0.475*44/12</f>
        <v>11.829904188429076</v>
      </c>
      <c r="AB49" s="21">
        <f>EXP(-LN(2)/2)*AB48+(1-EXP(-LN(2)/2))/(LN(2)/2)*V49*Y49*VLOOKUP('Données projet'!$B$9,Paramètres!$A$1:$I$89,3,0)*0.475*44/12</f>
        <v>9.4226881729171458E-2</v>
      </c>
      <c r="AC49" s="22">
        <f t="shared" si="3"/>
        <v>14.419693435526536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185.19999999999979</v>
      </c>
      <c r="AJ49" s="13">
        <f>AI49*VLOOKUP('Données projet'!$B$10,Paramètres!$A$1:$I$89,3,0)*VLOOKUP('Données projet'!$B$10,Paramètres!$A$1:$I$89,5,0)</f>
        <v>161.79071999999982</v>
      </c>
      <c r="AK49" s="13">
        <f t="shared" si="35"/>
        <v>41.246155299147965</v>
      </c>
      <c r="AL49" s="20">
        <f t="shared" si="4"/>
        <v>353.62255781268237</v>
      </c>
      <c r="AM49" s="59">
        <f t="shared" si="5"/>
        <v>646.95589114601569</v>
      </c>
      <c r="AN49" s="59">
        <f ca="1">AVERAGE(OFFSET($AM$3,0,0,'Données projet'!$E$10+1,1))-AVERAGE(OFFSET($H$3,0,0,'Données projet'!$E$10+1,1))</f>
        <v>191.94797389630673</v>
      </c>
      <c r="AO49" s="59">
        <f t="shared" si="36"/>
        <v>273.52540822767878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9.0148804341783553</v>
      </c>
      <c r="AW49" s="21">
        <f>EXP(-LN(2)/2)*AW48+(1-EXP(-LN(2)/2))/(LN(2)/2)*AQ49*AT49*VLOOKUP('Données projet'!$B$10,Paramètres!$A$1:$I$89,3,0)*0.475*44/12</f>
        <v>9.0636964529958494E-2</v>
      </c>
      <c r="AX49" s="21">
        <f t="shared" si="6"/>
        <v>10.980970327833573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2.8421709430404007E-14</v>
      </c>
      <c r="BE49" s="13">
        <f>BD49*VLOOKUP('Données projet'!$B$11,Paramètres!$A$1:$I$89,3,0)*VLOOKUP('Données projet'!$B$11,Paramètres!$A$1:$I$89,5,0)</f>
        <v>1.8178525351686402E-14</v>
      </c>
      <c r="BF49" s="13">
        <f t="shared" si="37"/>
        <v>3.3304129621647644E-13</v>
      </c>
      <c r="BG49" s="20">
        <f t="shared" si="7"/>
        <v>6.1170785589788349E-13</v>
      </c>
      <c r="BH49" s="59">
        <f t="shared" si="8"/>
        <v>293.33333333333394</v>
      </c>
      <c r="BI49" s="59">
        <f ca="1">AVERAGE(OFFSET($BH$3,0,0,'Données projet'!$E$11+1,1))-AVERAGE(OFFSET($H$3,0,0,'Données projet'!$E$11+1,1))</f>
        <v>64.256756080189803</v>
      </c>
      <c r="BJ49" s="59">
        <f t="shared" si="38"/>
        <v>209.76343043971747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25.224138569217761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2.8847985277118786E-3</v>
      </c>
      <c r="BS49" s="22">
        <f t="shared" si="9"/>
        <v>25.227023367745474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15.5</v>
      </c>
      <c r="N50" s="13">
        <f>IF('Données projet'!$A$36&gt;35,N49+M50-V49,IF(A50&lt;'Données projet'!$A$36,$K$205^A50,IF(A50='Données projet'!$A$36,'Données projet'!$B$36,N49+M50-V49)))</f>
        <v>353.50000000000011</v>
      </c>
      <c r="O50" s="13">
        <f>N50*VLOOKUP('Données projet'!$B$9,Paramètres!$A$1:$I$89,3,0)*VLOOKUP('Données projet'!$B$9,Paramètres!$A$1:$I$89,5,0)</f>
        <v>197.60650000000007</v>
      </c>
      <c r="P50" s="13">
        <f t="shared" si="33"/>
        <v>49.217780850747971</v>
      </c>
      <c r="Q50" s="20">
        <f t="shared" si="53"/>
        <v>429.88562248171951</v>
      </c>
      <c r="R50" s="59">
        <f t="shared" si="0"/>
        <v>723.21895581505282</v>
      </c>
      <c r="S50" s="59">
        <f ca="1">AVERAGE(OFFSET($R$3,0,0,'Données projet'!$E$9+1,1))-AVERAGE(OFFSET($H$3,0,0,'Données projet'!$E$9+1,1))</f>
        <v>235.10258076192054</v>
      </c>
      <c r="T50" s="59">
        <f t="shared" si="34"/>
        <v>233.47316052603765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2.4466259095261593</v>
      </c>
      <c r="AA50" s="21">
        <f>EXP(-LN(2)/25)*AA49+(1-EXP(-LN(2)/25))/(LN(2)/25)*Calculateur!V50*Calculateur!X50*VLOOKUP('Données projet'!$B$9,Paramètres!$A$1:$I$89,3,0)*0.475*44/12</f>
        <v>11.50641483628886</v>
      </c>
      <c r="AB50" s="21">
        <f>EXP(-LN(2)/2)*AB49+(1-EXP(-LN(2)/2))/(LN(2)/2)*V50*Y50*VLOOKUP('Données projet'!$B$9,Paramètres!$A$1:$I$89,3,0)*0.475*44/12</f>
        <v>6.6628467040759934E-2</v>
      </c>
      <c r="AC50" s="22">
        <f t="shared" si="3"/>
        <v>14.01966921285578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192.39999999999978</v>
      </c>
      <c r="AJ50" s="13">
        <f>AI50*VLOOKUP('Données projet'!$B$10,Paramètres!$A$1:$I$89,3,0)*VLOOKUP('Données projet'!$B$10,Paramètres!$A$1:$I$89,5,0)</f>
        <v>168.08063999999982</v>
      </c>
      <c r="AK50" s="13">
        <f t="shared" si="35"/>
        <v>42.659867131343425</v>
      </c>
      <c r="AL50" s="20">
        <f t="shared" si="4"/>
        <v>367.03971658708946</v>
      </c>
      <c r="AM50" s="59">
        <f t="shared" si="5"/>
        <v>660.37304992042277</v>
      </c>
      <c r="AN50" s="59">
        <f ca="1">AVERAGE(OFFSET($AM$3,0,0,'Données projet'!$E$10+1,1))-AVERAGE(OFFSET($H$3,0,0,'Données projet'!$E$10+1,1))</f>
        <v>191.94797389630673</v>
      </c>
      <c r="AO50" s="59">
        <f t="shared" si="36"/>
        <v>273.52540822767878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8.7683680546337897</v>
      </c>
      <c r="AW50" s="21">
        <f>EXP(-LN(2)/2)*AW49+(1-EXP(-LN(2)/2))/(LN(2)/2)*AQ50*AT50*VLOOKUP('Données projet'!$B$10,Paramètres!$A$1:$I$89,3,0)*0.475*44/12</f>
        <v>6.4090012245298228E-2</v>
      </c>
      <c r="AX50" s="21">
        <f t="shared" si="6"/>
        <v>10.671134507977536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2.8421709430404007E-14</v>
      </c>
      <c r="BE50" s="13">
        <f>BD50*VLOOKUP('Données projet'!$B$11,Paramètres!$A$1:$I$89,3,0)*VLOOKUP('Données projet'!$B$11,Paramètres!$A$1:$I$89,5,0)</f>
        <v>1.8178525351686402E-14</v>
      </c>
      <c r="BF50" s="13">
        <f t="shared" si="37"/>
        <v>3.3304129621647644E-13</v>
      </c>
      <c r="BG50" s="20">
        <f t="shared" si="7"/>
        <v>6.1170785589788349E-13</v>
      </c>
      <c r="BH50" s="59">
        <f t="shared" si="8"/>
        <v>293.33333333333394</v>
      </c>
      <c r="BI50" s="59">
        <f ca="1">AVERAGE(OFFSET($BH$3,0,0,'Données projet'!$E$11+1,1))-AVERAGE(OFFSET($H$3,0,0,'Données projet'!$E$11+1,1))</f>
        <v>64.256756080189803</v>
      </c>
      <c r="BJ50" s="59">
        <f t="shared" si="38"/>
        <v>209.76343043971747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24.729508597080766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2.0398606013020378E-3</v>
      </c>
      <c r="BS50" s="22">
        <f t="shared" si="9"/>
        <v>24.731548457682067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15.5</v>
      </c>
      <c r="N51" s="13">
        <f>IF('Données projet'!$A$36&gt;35,N50+M51-V50,IF(A51&lt;'Données projet'!$A$36,$K$205^A51,IF(A51='Données projet'!$A$36,'Données projet'!$B$36,N50+M51-V50)))</f>
        <v>369.00000000000011</v>
      </c>
      <c r="O51" s="13">
        <f>N51*VLOOKUP('Données projet'!$B$9,Paramètres!$A$1:$I$89,3,0)*VLOOKUP('Données projet'!$B$9,Paramètres!$A$1:$I$89,5,0)</f>
        <v>206.27100000000007</v>
      </c>
      <c r="P51" s="13">
        <f t="shared" si="33"/>
        <v>51.119857609331589</v>
      </c>
      <c r="Q51" s="20">
        <f t="shared" si="53"/>
        <v>448.28907700291933</v>
      </c>
      <c r="R51" s="59">
        <f t="shared" si="0"/>
        <v>741.62241033625264</v>
      </c>
      <c r="S51" s="59">
        <f ca="1">AVERAGE(OFFSET($R$3,0,0,'Données projet'!$E$9+1,1))-AVERAGE(OFFSET($H$3,0,0,'Données projet'!$E$9+1,1))</f>
        <v>235.10258076192054</v>
      </c>
      <c r="T51" s="59">
        <f t="shared" si="34"/>
        <v>233.47316052603765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2.3986490677348042</v>
      </c>
      <c r="AA51" s="21">
        <f>EXP(-LN(2)/25)*AA50+(1-EXP(-LN(2)/25))/(LN(2)/25)*Calculateur!V51*Calculateur!X51*VLOOKUP('Données projet'!$B$9,Paramètres!$A$1:$I$89,3,0)*0.475*44/12</f>
        <v>11.191771317494483</v>
      </c>
      <c r="AB51" s="21">
        <f>EXP(-LN(2)/2)*AB50+(1-EXP(-LN(2)/2))/(LN(2)/2)*V51*Y51*VLOOKUP('Données projet'!$B$9,Paramètres!$A$1:$I$89,3,0)*0.475*44/12</f>
        <v>4.7113440864585729E-2</v>
      </c>
      <c r="AC51" s="22">
        <f t="shared" si="3"/>
        <v>13.637533826093872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199.59999999999977</v>
      </c>
      <c r="AJ51" s="13">
        <f>AI51*VLOOKUP('Données projet'!$B$10,Paramètres!$A$1:$I$89,3,0)*VLOOKUP('Données projet'!$B$10,Paramètres!$A$1:$I$89,5,0)</f>
        <v>174.37055999999981</v>
      </c>
      <c r="AK51" s="13">
        <f t="shared" si="35"/>
        <v>44.067432817877425</v>
      </c>
      <c r="AL51" s="20">
        <f t="shared" si="4"/>
        <v>380.44617082446945</v>
      </c>
      <c r="AM51" s="59">
        <f t="shared" si="5"/>
        <v>673.77950415780276</v>
      </c>
      <c r="AN51" s="59">
        <f ca="1">AVERAGE(OFFSET($AM$3,0,0,'Données projet'!$E$10+1,1))-AVERAGE(OFFSET($H$3,0,0,'Données projet'!$E$10+1,1))</f>
        <v>191.94797389630673</v>
      </c>
      <c r="AO51" s="59">
        <f t="shared" si="36"/>
        <v>273.52540822767878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8.528596569071393</v>
      </c>
      <c r="AW51" s="21">
        <f>EXP(-LN(2)/2)*AW50+(1-EXP(-LN(2)/2))/(LN(2)/2)*AQ51*AT51*VLOOKUP('Données projet'!$B$10,Paramètres!$A$1:$I$89,3,0)*0.475*44/12</f>
        <v>4.5318482264979247E-2</v>
      </c>
      <c r="AX51" s="21">
        <f t="shared" si="6"/>
        <v>10.376536168906773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2.8421709430404007E-14</v>
      </c>
      <c r="BE51" s="13">
        <f>BD51*VLOOKUP('Données projet'!$B$11,Paramètres!$A$1:$I$89,3,0)*VLOOKUP('Données projet'!$B$11,Paramètres!$A$1:$I$89,5,0)</f>
        <v>1.8178525351686402E-14</v>
      </c>
      <c r="BF51" s="13">
        <f t="shared" si="37"/>
        <v>3.3304129621647644E-13</v>
      </c>
      <c r="BG51" s="20">
        <f t="shared" si="7"/>
        <v>6.1170785589788349E-13</v>
      </c>
      <c r="BH51" s="59">
        <f t="shared" si="8"/>
        <v>293.33333333333394</v>
      </c>
      <c r="BI51" s="59">
        <f ca="1">AVERAGE(OFFSET($BH$3,0,0,'Données projet'!$E$11+1,1))-AVERAGE(OFFSET($H$3,0,0,'Données projet'!$E$11+1,1))</f>
        <v>64.256756080189803</v>
      </c>
      <c r="BJ51" s="59">
        <f t="shared" si="38"/>
        <v>209.76343043971747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24.244578017002883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1.4423992638559393E-3</v>
      </c>
      <c r="BS51" s="22">
        <f t="shared" si="9"/>
        <v>24.246020416266738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15.5</v>
      </c>
      <c r="N52" s="13">
        <f>IF('Données projet'!$A$36&gt;35,N51+M52-V51,IF(A52&lt;'Données projet'!$A$36,$K$205^A52,IF(A52='Données projet'!$A$36,'Données projet'!$B$36,N51+M52-V51)))</f>
        <v>384.50000000000011</v>
      </c>
      <c r="O52" s="13">
        <f>N52*VLOOKUP('Données projet'!$B$9,Paramètres!$A$1:$I$89,3,0)*VLOOKUP('Données projet'!$B$9,Paramètres!$A$1:$I$89,5,0)</f>
        <v>214.93550000000005</v>
      </c>
      <c r="P52" s="13">
        <f t="shared" si="33"/>
        <v>53.012654111958383</v>
      </c>
      <c r="Q52" s="20">
        <f t="shared" si="53"/>
        <v>466.67636841166092</v>
      </c>
      <c r="R52" s="59">
        <f t="shared" si="0"/>
        <v>760.00970174499423</v>
      </c>
      <c r="S52" s="59">
        <f ca="1">AVERAGE(OFFSET($R$3,0,0,'Données projet'!$E$9+1,1))-AVERAGE(OFFSET($H$3,0,0,'Données projet'!$E$9+1,1))</f>
        <v>235.10258076192054</v>
      </c>
      <c r="T52" s="59">
        <f t="shared" si="34"/>
        <v>233.47316052603765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2.3516130225479936</v>
      </c>
      <c r="AA52" s="21">
        <f>EXP(-LN(2)/25)*AA51+(1-EXP(-LN(2)/25))/(LN(2)/25)*Calculateur!V52*Calculateur!X52*VLOOKUP('Données projet'!$B$9,Paramètres!$A$1:$I$89,3,0)*0.475*44/12</f>
        <v>10.885731742267922</v>
      </c>
      <c r="AB52" s="21">
        <f>EXP(-LN(2)/2)*AB51+(1-EXP(-LN(2)/2))/(LN(2)/2)*V52*Y52*VLOOKUP('Données projet'!$B$9,Paramètres!$A$1:$I$89,3,0)*0.475*44/12</f>
        <v>3.3314233520379967E-2</v>
      </c>
      <c r="AC52" s="22">
        <f t="shared" si="3"/>
        <v>13.270658998336296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206.79999999999976</v>
      </c>
      <c r="AJ52" s="13">
        <f>AI52*VLOOKUP('Données projet'!$B$10,Paramètres!$A$1:$I$89,3,0)*VLOOKUP('Données projet'!$B$10,Paramètres!$A$1:$I$89,5,0)</f>
        <v>180.66047999999981</v>
      </c>
      <c r="AK52" s="13">
        <f t="shared" si="35"/>
        <v>45.469099459918716</v>
      </c>
      <c r="AL52" s="20">
        <f t="shared" si="4"/>
        <v>393.8423508926914</v>
      </c>
      <c r="AM52" s="59">
        <f t="shared" si="5"/>
        <v>687.17568422602471</v>
      </c>
      <c r="AN52" s="59">
        <f ca="1">AVERAGE(OFFSET($AM$3,0,0,'Données projet'!$E$10+1,1))-AVERAGE(OFFSET($H$3,0,0,'Données projet'!$E$10+1,1))</f>
        <v>191.94797389630673</v>
      </c>
      <c r="AO52" s="59">
        <f t="shared" si="36"/>
        <v>273.52540822767878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8.2953816473907338</v>
      </c>
      <c r="AW52" s="21">
        <f>EXP(-LN(2)/2)*AW51+(1-EXP(-LN(2)/2))/(LN(2)/2)*AQ52*AT52*VLOOKUP('Données projet'!$B$10,Paramètres!$A$1:$I$89,3,0)*0.475*44/12</f>
        <v>3.2045006122649114E-2</v>
      </c>
      <c r="AX52" s="21">
        <f t="shared" si="6"/>
        <v>10.094699470458542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2.8421709430404007E-14</v>
      </c>
      <c r="BE52" s="13">
        <f>BD52*VLOOKUP('Données projet'!$B$11,Paramètres!$A$1:$I$89,3,0)*VLOOKUP('Données projet'!$B$11,Paramètres!$A$1:$I$89,5,0)</f>
        <v>1.8178525351686402E-14</v>
      </c>
      <c r="BF52" s="13">
        <f t="shared" si="37"/>
        <v>3.3304129621647644E-13</v>
      </c>
      <c r="BG52" s="20">
        <f t="shared" si="7"/>
        <v>6.1170785589788349E-13</v>
      </c>
      <c r="BH52" s="59">
        <f t="shared" si="8"/>
        <v>293.33333333333394</v>
      </c>
      <c r="BI52" s="59">
        <f ca="1">AVERAGE(OFFSET($BH$3,0,0,'Données projet'!$E$11+1,1))-AVERAGE(OFFSET($H$3,0,0,'Données projet'!$E$11+1,1))</f>
        <v>64.256756080189803</v>
      </c>
      <c r="BJ52" s="59">
        <f t="shared" si="38"/>
        <v>209.76343043971747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23.769156629821879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1.0199303006510189E-3</v>
      </c>
      <c r="BS52" s="22">
        <f t="shared" si="9"/>
        <v>23.770176560122529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400</v>
      </c>
      <c r="L53" s="12">
        <f>VLOOKUP(A53,'Données projet'!$A$35:$I$55,9,0)</f>
        <v>15.5</v>
      </c>
      <c r="M53" s="12">
        <f t="array" ref="M53">INDEX(L:L,MIN(IF(ISNUMBER(L53:L249),ROW(L53:L249),"")))</f>
        <v>15.5</v>
      </c>
      <c r="N53" s="13">
        <f>IF('Données projet'!$A$36&gt;35,N52+M53-V52,IF(A53&lt;'Données projet'!$A$36,$K$205^A53,IF(A53='Données projet'!$A$36,'Données projet'!$B$36,N52+M53-V52)))</f>
        <v>400.00000000000011</v>
      </c>
      <c r="O53" s="13">
        <f>N53*VLOOKUP('Données projet'!$B$9,Paramètres!$A$1:$I$89,3,0)*VLOOKUP('Données projet'!$B$9,Paramètres!$A$1:$I$89,5,0)</f>
        <v>223.60000000000008</v>
      </c>
      <c r="P53" s="13">
        <f t="shared" si="33"/>
        <v>54.896587262968644</v>
      </c>
      <c r="Q53" s="20">
        <f t="shared" si="53"/>
        <v>485.04822281633716</v>
      </c>
      <c r="R53" s="59">
        <f t="shared" si="0"/>
        <v>778.38155614967047</v>
      </c>
      <c r="S53" s="59">
        <f ca="1">AVERAGE(OFFSET($R$3,0,0,'Données projet'!$E$9+1,1))-AVERAGE(OFFSET($H$3,0,0,'Données projet'!$E$9+1,1))</f>
        <v>235.10258076192054</v>
      </c>
      <c r="T53" s="59">
        <f t="shared" si="34"/>
        <v>233.47316052603765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2.3054993255181415</v>
      </c>
      <c r="AA53" s="21">
        <f>EXP(-LN(2)/25)*AA52+(1-EXP(-LN(2)/25))/(LN(2)/25)*Calculateur!V53*Calculateur!X53*VLOOKUP('Données projet'!$B$9,Paramètres!$A$1:$I$89,3,0)*0.475*44/12</f>
        <v>10.588060835319853</v>
      </c>
      <c r="AB53" s="21">
        <f>EXP(-LN(2)/2)*AB52+(1-EXP(-LN(2)/2))/(LN(2)/2)*V53*Y53*VLOOKUP('Données projet'!$B$9,Paramètres!$A$1:$I$89,3,0)*0.475*44/12</f>
        <v>2.3556720432292864E-2</v>
      </c>
      <c r="AC53" s="22">
        <f t="shared" si="3"/>
        <v>12.917116881270287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214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213.99999999999974</v>
      </c>
      <c r="AJ53" s="13">
        <f>AI53*VLOOKUP('Données projet'!$B$10,Paramètres!$A$1:$I$89,3,0)*VLOOKUP('Données projet'!$B$10,Paramètres!$A$1:$I$89,5,0)</f>
        <v>186.9503999999998</v>
      </c>
      <c r="AK53" s="13">
        <f t="shared" si="35"/>
        <v>46.86509597661761</v>
      </c>
      <c r="AL53" s="20">
        <f t="shared" si="4"/>
        <v>407.2286554926086</v>
      </c>
      <c r="AM53" s="59">
        <f t="shared" si="5"/>
        <v>700.56198882594185</v>
      </c>
      <c r="AN53" s="59">
        <f ca="1">AVERAGE(OFFSET($AM$3,0,0,'Données projet'!$E$10+1,1))-AVERAGE(OFFSET($H$3,0,0,'Données projet'!$E$10+1,1))</f>
        <v>191.94797389630673</v>
      </c>
      <c r="AO53" s="59">
        <f t="shared" si="36"/>
        <v>273.52540822767878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8.0685440000076731</v>
      </c>
      <c r="AW53" s="21">
        <f>EXP(-LN(2)/2)*AW52+(1-EXP(-LN(2)/2))/(LN(2)/2)*AQ53*AT53*VLOOKUP('Données projet'!$B$10,Paramètres!$A$1:$I$89,3,0)*0.475*44/12</f>
        <v>2.2659241132489624E-2</v>
      </c>
      <c r="AX53" s="21">
        <f t="shared" si="6"/>
        <v>9.8238209160750092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2.8421709430404007E-14</v>
      </c>
      <c r="BE53" s="13">
        <f>BD53*VLOOKUP('Données projet'!$B$11,Paramètres!$A$1:$I$89,3,0)*VLOOKUP('Données projet'!$B$11,Paramètres!$A$1:$I$89,5,0)</f>
        <v>1.8178525351686402E-14</v>
      </c>
      <c r="BF53" s="13">
        <f t="shared" si="37"/>
        <v>3.3304129621647644E-13</v>
      </c>
      <c r="BG53" s="20">
        <f t="shared" si="7"/>
        <v>6.1170785589788349E-13</v>
      </c>
      <c r="BH53" s="59">
        <f t="shared" si="8"/>
        <v>293.33333333333394</v>
      </c>
      <c r="BI53" s="59">
        <f ca="1">AVERAGE(OFFSET($BH$3,0,0,'Données projet'!$E$11+1,1))-AVERAGE(OFFSET($H$3,0,0,'Données projet'!$E$11+1,1))</f>
        <v>64.256756080189803</v>
      </c>
      <c r="BJ53" s="59">
        <f t="shared" si="38"/>
        <v>209.76343043971747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23.303057966065083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7.2119963192796965E-4</v>
      </c>
      <c r="BS53" s="22">
        <f t="shared" si="9"/>
        <v>23.303779165697012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13.2</v>
      </c>
      <c r="N54" s="13">
        <f>IF('Données projet'!$A$36&gt;35,N53+M54-V53,IF(A54&lt;'Données projet'!$A$36,$K$205^A54,IF(A54='Données projet'!$A$36,'Données projet'!$B$36,N53+M54-V53)))</f>
        <v>329.2000000000001</v>
      </c>
      <c r="O54" s="13">
        <f>N54*VLOOKUP('Données projet'!$B$9,Paramètres!$A$1:$I$89,3,0)*VLOOKUP('Données projet'!$B$9,Paramètres!$A$1:$I$89,5,0)</f>
        <v>184.02280000000005</v>
      </c>
      <c r="P54" s="13">
        <f t="shared" si="33"/>
        <v>46.21603048993093</v>
      </c>
      <c r="Q54" s="20">
        <f t="shared" si="53"/>
        <v>400.99929643662978</v>
      </c>
      <c r="R54" s="59">
        <f t="shared" si="0"/>
        <v>694.33262976996309</v>
      </c>
      <c r="S54" s="59">
        <f ca="1">AVERAGE(OFFSET($R$3,0,0,'Données projet'!$E$9+1,1))-AVERAGE(OFFSET($H$3,0,0,'Données projet'!$E$9+1,1))</f>
        <v>235.10258076192054</v>
      </c>
      <c r="T54" s="59">
        <f t="shared" si="34"/>
        <v>233.47316052603765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2.2602898899604669</v>
      </c>
      <c r="AA54" s="21">
        <f>EXP(-LN(2)/25)*AA53+(1-EXP(-LN(2)/25))/(LN(2)/25)*Calculateur!V54*Calculateur!X54*VLOOKUP('Données projet'!$B$9,Paramètres!$A$1:$I$89,3,0)*0.475*44/12</f>
        <v>10.298529754976112</v>
      </c>
      <c r="AB54" s="21">
        <f>EXP(-LN(2)/2)*AB53+(1-EXP(-LN(2)/2))/(LN(2)/2)*V54*Y54*VLOOKUP('Données projet'!$B$9,Paramètres!$A$1:$I$89,3,0)*0.475*44/12</f>
        <v>1.6657116760189983E-2</v>
      </c>
      <c r="AC54" s="22">
        <f t="shared" si="3"/>
        <v>12.575476761696768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169.59999999999974</v>
      </c>
      <c r="AJ54" s="13">
        <f>AI54*VLOOKUP('Données projet'!$B$10,Paramètres!$A$1:$I$89,3,0)*VLOOKUP('Données projet'!$B$10,Paramètres!$A$1:$I$89,5,0)</f>
        <v>148.16255999999979</v>
      </c>
      <c r="AK54" s="13">
        <f t="shared" si="35"/>
        <v>38.160721728430708</v>
      </c>
      <c r="AL54" s="20">
        <f t="shared" si="4"/>
        <v>324.51304901034973</v>
      </c>
      <c r="AM54" s="59">
        <f t="shared" si="5"/>
        <v>617.84638234368299</v>
      </c>
      <c r="AN54" s="59">
        <f ca="1">AVERAGE(OFFSET($AM$3,0,0,'Données projet'!$E$10+1,1))-AVERAGE(OFFSET($H$3,0,0,'Données projet'!$E$10+1,1))</f>
        <v>191.94797389630673</v>
      </c>
      <c r="AO54" s="59">
        <f t="shared" si="36"/>
        <v>273.52540822767878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7.847909240021175</v>
      </c>
      <c r="AW54" s="21">
        <f>EXP(-LN(2)/2)*AW53+(1-EXP(-LN(2)/2))/(LN(2)/2)*AQ54*AT54*VLOOKUP('Données projet'!$B$10,Paramètres!$A$1:$I$89,3,0)*0.475*44/12</f>
        <v>1.6022503061324557E-2</v>
      </c>
      <c r="AX54" s="21">
        <f t="shared" si="6"/>
        <v>9.562573842204305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2.8421709430404007E-14</v>
      </c>
      <c r="BE54" s="13">
        <f>BD54*VLOOKUP('Données projet'!$B$11,Paramètres!$A$1:$I$89,3,0)*VLOOKUP('Données projet'!$B$11,Paramètres!$A$1:$I$89,5,0)</f>
        <v>1.8178525351686402E-14</v>
      </c>
      <c r="BF54" s="13">
        <f t="shared" si="37"/>
        <v>3.3304129621647644E-13</v>
      </c>
      <c r="BG54" s="20">
        <f t="shared" si="7"/>
        <v>6.1170785589788349E-13</v>
      </c>
      <c r="BH54" s="59">
        <f t="shared" si="8"/>
        <v>293.33333333333394</v>
      </c>
      <c r="BI54" s="59">
        <f ca="1">AVERAGE(OFFSET($BH$3,0,0,'Données projet'!$E$11+1,1))-AVERAGE(OFFSET($H$3,0,0,'Données projet'!$E$11+1,1))</f>
        <v>64.256756080189803</v>
      </c>
      <c r="BJ54" s="59">
        <f t="shared" si="38"/>
        <v>209.76343043971747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22.846099212812444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5.0996515032550945E-4</v>
      </c>
      <c r="BS54" s="22">
        <f t="shared" si="9"/>
        <v>22.846609177962769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13.2</v>
      </c>
      <c r="N55" s="13">
        <f>IF('Données projet'!$A$36&gt;35,N54+M55-V54,IF(A55&lt;'Données projet'!$A$36,$K$205^A55,IF(A55='Données projet'!$A$36,'Données projet'!$B$36,N54+M55-V54)))</f>
        <v>342.40000000000009</v>
      </c>
      <c r="O55" s="13">
        <f>N55*VLOOKUP('Données projet'!$B$9,Paramètres!$A$1:$I$89,3,0)*VLOOKUP('Données projet'!$B$9,Paramètres!$A$1:$I$89,5,0)</f>
        <v>191.40160000000003</v>
      </c>
      <c r="P55" s="13">
        <f t="shared" si="33"/>
        <v>47.849694035977251</v>
      </c>
      <c r="Q55" s="20">
        <f t="shared" si="53"/>
        <v>416.6960037793271</v>
      </c>
      <c r="R55" s="59">
        <f t="shared" si="0"/>
        <v>710.02933711266041</v>
      </c>
      <c r="S55" s="59">
        <f ca="1">AVERAGE(OFFSET($R$3,0,0,'Données projet'!$E$9+1,1))-AVERAGE(OFFSET($H$3,0,0,'Données projet'!$E$9+1,1))</f>
        <v>235.10258076192054</v>
      </c>
      <c r="T55" s="59">
        <f t="shared" si="34"/>
        <v>233.47316052603765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2.2159669838590457</v>
      </c>
      <c r="AA55" s="21">
        <f>EXP(-LN(2)/25)*AA54+(1-EXP(-LN(2)/25))/(LN(2)/25)*Calculateur!V55*Calculateur!X55*VLOOKUP('Données projet'!$B$9,Paramètres!$A$1:$I$89,3,0)*0.475*44/12</f>
        <v>10.016915917250149</v>
      </c>
      <c r="AB55" s="21">
        <f>EXP(-LN(2)/2)*AB54+(1-EXP(-LN(2)/2))/(LN(2)/2)*V55*Y55*VLOOKUP('Données projet'!$B$9,Paramètres!$A$1:$I$89,3,0)*0.475*44/12</f>
        <v>1.1778360216146432E-2</v>
      </c>
      <c r="AC55" s="22">
        <f t="shared" si="3"/>
        <v>12.244661261325341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175.19999999999973</v>
      </c>
      <c r="AJ55" s="13">
        <f>AI55*VLOOKUP('Données projet'!$B$10,Paramètres!$A$1:$I$89,3,0)*VLOOKUP('Données projet'!$B$10,Paramètres!$A$1:$I$89,5,0)</f>
        <v>153.05471999999978</v>
      </c>
      <c r="AK55" s="13">
        <f t="shared" si="35"/>
        <v>39.27196508838513</v>
      </c>
      <c r="AL55" s="20">
        <f t="shared" si="4"/>
        <v>334.96897652893705</v>
      </c>
      <c r="AM55" s="59">
        <f t="shared" si="5"/>
        <v>628.30230986227036</v>
      </c>
      <c r="AN55" s="59">
        <f ca="1">AVERAGE(OFFSET($AM$3,0,0,'Données projet'!$E$10+1,1))-AVERAGE(OFFSET($H$3,0,0,'Données projet'!$E$10+1,1))</f>
        <v>191.94797389630673</v>
      </c>
      <c r="AO55" s="59">
        <f t="shared" si="36"/>
        <v>273.52540822767878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7.6333077491491856</v>
      </c>
      <c r="AW55" s="21">
        <f>EXP(-LN(2)/2)*AW54+(1-EXP(-LN(2)/2))/(LN(2)/2)*AQ55*AT55*VLOOKUP('Données projet'!$B$10,Paramètres!$A$1:$I$89,3,0)*0.475*44/12</f>
        <v>1.1329620566244812E-2</v>
      </c>
      <c r="AX55" s="21">
        <f t="shared" si="6"/>
        <v>9.3099701333428353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2.8421709430404007E-14</v>
      </c>
      <c r="BE55" s="13">
        <f>BD55*VLOOKUP('Données projet'!$B$11,Paramètres!$A$1:$I$89,3,0)*VLOOKUP('Données projet'!$B$11,Paramètres!$A$1:$I$89,5,0)</f>
        <v>1.8178525351686402E-14</v>
      </c>
      <c r="BF55" s="13">
        <f t="shared" si="37"/>
        <v>3.3304129621647644E-13</v>
      </c>
      <c r="BG55" s="20">
        <f t="shared" si="7"/>
        <v>6.1170785589788349E-13</v>
      </c>
      <c r="BH55" s="59">
        <f t="shared" si="8"/>
        <v>293.33333333333394</v>
      </c>
      <c r="BI55" s="59">
        <f ca="1">AVERAGE(OFFSET($BH$3,0,0,'Données projet'!$E$11+1,1))-AVERAGE(OFFSET($H$3,0,0,'Données projet'!$E$11+1,1))</f>
        <v>64.256756080189803</v>
      </c>
      <c r="BJ55" s="59">
        <f t="shared" si="38"/>
        <v>209.76343043971747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22.39810114199377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3.6059981596398482E-4</v>
      </c>
      <c r="BS55" s="22">
        <f t="shared" si="9"/>
        <v>22.398461741809733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13.2</v>
      </c>
      <c r="N56" s="13">
        <f>IF('Données projet'!$A$36&gt;35,N55+M56-V55,IF(A56&lt;'Données projet'!$A$36,$K$205^A56,IF(A56='Données projet'!$A$36,'Données projet'!$B$36,N55+M56-V55)))</f>
        <v>355.60000000000008</v>
      </c>
      <c r="O56" s="13">
        <f>N56*VLOOKUP('Données projet'!$B$9,Paramètres!$A$1:$I$89,3,0)*VLOOKUP('Données projet'!$B$9,Paramètres!$A$1:$I$89,5,0)</f>
        <v>198.78040000000007</v>
      </c>
      <c r="P56" s="13">
        <f t="shared" si="33"/>
        <v>49.476041217213542</v>
      </c>
      <c r="Q56" s="20">
        <f t="shared" si="53"/>
        <v>432.37996845331372</v>
      </c>
      <c r="R56" s="59">
        <f t="shared" si="0"/>
        <v>725.71330178664698</v>
      </c>
      <c r="S56" s="59">
        <f ca="1">AVERAGE(OFFSET($R$3,0,0,'Données projet'!$E$9+1,1))-AVERAGE(OFFSET($H$3,0,0,'Données projet'!$E$9+1,1))</f>
        <v>235.10258076192054</v>
      </c>
      <c r="T56" s="59">
        <f t="shared" si="34"/>
        <v>233.47316052603765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2.1725132229119697</v>
      </c>
      <c r="AA56" s="21">
        <f>EXP(-LN(2)/25)*AA55+(1-EXP(-LN(2)/25))/(LN(2)/25)*Calculateur!V56*Calculateur!X56*VLOOKUP('Données projet'!$B$9,Paramètres!$A$1:$I$89,3,0)*0.475*44/12</f>
        <v>9.7430028247262292</v>
      </c>
      <c r="AB56" s="21">
        <f>EXP(-LN(2)/2)*AB55+(1-EXP(-LN(2)/2))/(LN(2)/2)*V56*Y56*VLOOKUP('Données projet'!$B$9,Paramètres!$A$1:$I$89,3,0)*0.475*44/12</f>
        <v>8.3285583800949917E-3</v>
      </c>
      <c r="AC56" s="22">
        <f t="shared" si="3"/>
        <v>11.923844606018294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180.79999999999973</v>
      </c>
      <c r="AJ56" s="13">
        <f>AI56*VLOOKUP('Données projet'!$B$10,Paramètres!$A$1:$I$89,3,0)*VLOOKUP('Données projet'!$B$10,Paramètres!$A$1:$I$89,5,0)</f>
        <v>157.94687999999979</v>
      </c>
      <c r="AK56" s="13">
        <f t="shared" si="35"/>
        <v>40.379080953267021</v>
      </c>
      <c r="AL56" s="20">
        <f t="shared" si="4"/>
        <v>345.41771532693969</v>
      </c>
      <c r="AM56" s="59">
        <f t="shared" si="5"/>
        <v>638.751048660273</v>
      </c>
      <c r="AN56" s="59">
        <f ca="1">AVERAGE(OFFSET($AM$3,0,0,'Données projet'!$E$10+1,1))-AVERAGE(OFFSET($H$3,0,0,'Données projet'!$E$10+1,1))</f>
        <v>191.94797389630673</v>
      </c>
      <c r="AO56" s="59">
        <f t="shared" si="36"/>
        <v>273.52540822767878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7.4245745473304927</v>
      </c>
      <c r="AW56" s="21">
        <f>EXP(-LN(2)/2)*AW55+(1-EXP(-LN(2)/2))/(LN(2)/2)*AQ56*AT56*VLOOKUP('Données projet'!$B$10,Paramètres!$A$1:$I$89,3,0)*0.475*44/12</f>
        <v>8.0112515306622785E-3</v>
      </c>
      <c r="AX56" s="21">
        <f t="shared" si="6"/>
        <v>9.0652624027465158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2.8421709430404007E-14</v>
      </c>
      <c r="BE56" s="13">
        <f>BD56*VLOOKUP('Données projet'!$B$11,Paramètres!$A$1:$I$89,3,0)*VLOOKUP('Données projet'!$B$11,Paramètres!$A$1:$I$89,5,0)</f>
        <v>1.8178525351686402E-14</v>
      </c>
      <c r="BF56" s="13">
        <f t="shared" si="37"/>
        <v>3.3304129621647644E-13</v>
      </c>
      <c r="BG56" s="20">
        <f t="shared" si="7"/>
        <v>6.1170785589788349E-13</v>
      </c>
      <c r="BH56" s="59">
        <f t="shared" si="8"/>
        <v>293.33333333333394</v>
      </c>
      <c r="BI56" s="59">
        <f ca="1">AVERAGE(OFFSET($BH$3,0,0,'Données projet'!$E$11+1,1))-AVERAGE(OFFSET($H$3,0,0,'Données projet'!$E$11+1,1))</f>
        <v>64.256756080189803</v>
      </c>
      <c r="BJ56" s="59">
        <f t="shared" si="38"/>
        <v>209.76343043971747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21.95888804009201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2.5498257516275472E-4</v>
      </c>
      <c r="BS56" s="22">
        <f t="shared" si="9"/>
        <v>21.959143022667174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13.2</v>
      </c>
      <c r="N57" s="13">
        <f>IF('Données projet'!$A$36&gt;35,N56+M57-V56,IF(A57&lt;'Données projet'!$A$36,$K$205^A57,IF(A57='Données projet'!$A$36,'Données projet'!$B$36,N56+M57-V56)))</f>
        <v>368.80000000000007</v>
      </c>
      <c r="O57" s="13">
        <f>N57*VLOOKUP('Données projet'!$B$9,Paramètres!$A$1:$I$89,3,0)*VLOOKUP('Données projet'!$B$9,Paramètres!$A$1:$I$89,5,0)</f>
        <v>206.15920000000006</v>
      </c>
      <c r="P57" s="13">
        <f t="shared" si="33"/>
        <v>51.09537471972169</v>
      </c>
      <c r="Q57" s="20">
        <f t="shared" si="53"/>
        <v>448.05171763684865</v>
      </c>
      <c r="R57" s="59">
        <f t="shared" si="0"/>
        <v>741.38505097018196</v>
      </c>
      <c r="S57" s="59">
        <f ca="1">AVERAGE(OFFSET($R$3,0,0,'Données projet'!$E$9+1,1))-AVERAGE(OFFSET($H$3,0,0,'Données projet'!$E$9+1,1))</f>
        <v>235.10258076192054</v>
      </c>
      <c r="T57" s="59">
        <f t="shared" si="34"/>
        <v>233.47316052603765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2.1299115637128891</v>
      </c>
      <c r="AA57" s="21">
        <f>EXP(-LN(2)/25)*AA56+(1-EXP(-LN(2)/25))/(LN(2)/25)*Calculateur!V57*Calculateur!X57*VLOOKUP('Données projet'!$B$9,Paramètres!$A$1:$I$89,3,0)*0.475*44/12</f>
        <v>9.4765799001218394</v>
      </c>
      <c r="AB57" s="21">
        <f>EXP(-LN(2)/2)*AB56+(1-EXP(-LN(2)/2))/(LN(2)/2)*V57*Y57*VLOOKUP('Données projet'!$B$9,Paramètres!$A$1:$I$89,3,0)*0.475*44/12</f>
        <v>5.8891801080732161E-3</v>
      </c>
      <c r="AC57" s="22">
        <f t="shared" si="3"/>
        <v>11.612380643942803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186.39999999999972</v>
      </c>
      <c r="AJ57" s="13">
        <f>AI57*VLOOKUP('Données projet'!$B$10,Paramètres!$A$1:$I$89,3,0)*VLOOKUP('Données projet'!$B$10,Paramètres!$A$1:$I$89,5,0)</f>
        <v>162.83903999999978</v>
      </c>
      <c r="AK57" s="13">
        <f t="shared" si="35"/>
        <v>41.482211836000076</v>
      </c>
      <c r="AL57" s="20">
        <f t="shared" si="4"/>
        <v>355.85951361436645</v>
      </c>
      <c r="AM57" s="59">
        <f t="shared" si="5"/>
        <v>649.19284694769976</v>
      </c>
      <c r="AN57" s="59">
        <f ca="1">AVERAGE(OFFSET($AM$3,0,0,'Données projet'!$E$10+1,1))-AVERAGE(OFFSET($H$3,0,0,'Données projet'!$E$10+1,1))</f>
        <v>191.94797389630673</v>
      </c>
      <c r="AO57" s="59">
        <f t="shared" si="36"/>
        <v>273.52540822767878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7.2215491658923341</v>
      </c>
      <c r="AW57" s="21">
        <f>EXP(-LN(2)/2)*AW56+(1-EXP(-LN(2)/2))/(LN(2)/2)*AQ57*AT57*VLOOKUP('Données projet'!$B$10,Paramètres!$A$1:$I$89,3,0)*0.475*44/12</f>
        <v>5.6648102831224059E-3</v>
      </c>
      <c r="AX57" s="21">
        <f t="shared" si="6"/>
        <v>8.8278747876930215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2.8421709430404007E-14</v>
      </c>
      <c r="BE57" s="13">
        <f>BD57*VLOOKUP('Données projet'!$B$11,Paramètres!$A$1:$I$89,3,0)*VLOOKUP('Données projet'!$B$11,Paramètres!$A$1:$I$89,5,0)</f>
        <v>1.8178525351686402E-14</v>
      </c>
      <c r="BF57" s="13">
        <f t="shared" si="37"/>
        <v>3.3304129621647644E-13</v>
      </c>
      <c r="BG57" s="20">
        <f t="shared" si="7"/>
        <v>6.1170785589788349E-13</v>
      </c>
      <c r="BH57" s="59">
        <f t="shared" si="8"/>
        <v>293.33333333333394</v>
      </c>
      <c r="BI57" s="59">
        <f ca="1">AVERAGE(OFFSET($BH$3,0,0,'Données projet'!$E$11+1,1))-AVERAGE(OFFSET($H$3,0,0,'Données projet'!$E$11+1,1))</f>
        <v>64.256756080189803</v>
      </c>
      <c r="BJ57" s="59">
        <f t="shared" si="38"/>
        <v>209.76343043971747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21.528287639225002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1.8029990798199241E-4</v>
      </c>
      <c r="BS57" s="22">
        <f t="shared" si="9"/>
        <v>21.528467939132984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13.2</v>
      </c>
      <c r="N58" s="13">
        <f>IF('Données projet'!$A$36&gt;35,N57+M58-V57,IF(A58&lt;'Données projet'!$A$36,$K$205^A58,IF(A58='Données projet'!$A$36,'Données projet'!$B$36,N57+M58-V57)))</f>
        <v>382.00000000000006</v>
      </c>
      <c r="O58" s="13">
        <f>N58*VLOOKUP('Données projet'!$B$9,Paramètres!$A$1:$I$89,3,0)*VLOOKUP('Données projet'!$B$9,Paramètres!$A$1:$I$89,5,0)</f>
        <v>213.53800000000004</v>
      </c>
      <c r="P58" s="13">
        <f t="shared" si="33"/>
        <v>52.707974334003438</v>
      </c>
      <c r="Q58" s="20">
        <f t="shared" si="53"/>
        <v>463.71173863172265</v>
      </c>
      <c r="R58" s="59">
        <f t="shared" si="0"/>
        <v>757.04507196505597</v>
      </c>
      <c r="S58" s="59">
        <f ca="1">AVERAGE(OFFSET($R$3,0,0,'Données projet'!$E$9+1,1))-AVERAGE(OFFSET($H$3,0,0,'Données projet'!$E$9+1,1))</f>
        <v>235.10258076192054</v>
      </c>
      <c r="T58" s="59">
        <f t="shared" si="34"/>
        <v>233.47316052603765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2.088145297066256</v>
      </c>
      <c r="AA58" s="21">
        <f>EXP(-LN(2)/25)*AA57+(1-EXP(-LN(2)/25))/(LN(2)/25)*Calculateur!V58*Calculateur!X58*VLOOKUP('Données projet'!$B$9,Paramètres!$A$1:$I$89,3,0)*0.475*44/12</f>
        <v>9.217442324401329</v>
      </c>
      <c r="AB58" s="21">
        <f>EXP(-LN(2)/2)*AB57+(1-EXP(-LN(2)/2))/(LN(2)/2)*V58*Y58*VLOOKUP('Données projet'!$B$9,Paramètres!$A$1:$I$89,3,0)*0.475*44/12</f>
        <v>4.1642791900474959E-3</v>
      </c>
      <c r="AC58" s="22">
        <f t="shared" si="3"/>
        <v>11.309751900657632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191.99999999999972</v>
      </c>
      <c r="AJ58" s="13">
        <f>AI58*VLOOKUP('Données projet'!$B$10,Paramètres!$A$1:$I$89,3,0)*VLOOKUP('Données projet'!$B$10,Paramètres!$A$1:$I$89,5,0)</f>
        <v>167.73119999999977</v>
      </c>
      <c r="AK58" s="13">
        <f t="shared" si="35"/>
        <v>42.581491199832612</v>
      </c>
      <c r="AL58" s="20">
        <f t="shared" si="4"/>
        <v>366.29460383970803</v>
      </c>
      <c r="AM58" s="59">
        <f t="shared" si="5"/>
        <v>659.62793717304135</v>
      </c>
      <c r="AN58" s="59">
        <f ca="1">AVERAGE(OFFSET($AM$3,0,0,'Données projet'!$E$10+1,1))-AVERAGE(OFFSET($H$3,0,0,'Données projet'!$E$10+1,1))</f>
        <v>191.94797389630673</v>
      </c>
      <c r="AO58" s="59">
        <f t="shared" si="36"/>
        <v>273.52540822767878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7.0240755241862427</v>
      </c>
      <c r="AW58" s="21">
        <f>EXP(-LN(2)/2)*AW57+(1-EXP(-LN(2)/2))/(LN(2)/2)*AQ58*AT58*VLOOKUP('Données projet'!$B$10,Paramètres!$A$1:$I$89,3,0)*0.475*44/12</f>
        <v>4.0056257653311392E-3</v>
      </c>
      <c r="AX58" s="21">
        <f t="shared" si="6"/>
        <v>8.5973539792619729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2.8421709430404007E-14</v>
      </c>
      <c r="BE58" s="13">
        <f>BD58*VLOOKUP('Données projet'!$B$11,Paramètres!$A$1:$I$89,3,0)*VLOOKUP('Données projet'!$B$11,Paramètres!$A$1:$I$89,5,0)</f>
        <v>1.8178525351686402E-14</v>
      </c>
      <c r="BF58" s="13">
        <f t="shared" si="37"/>
        <v>3.3304129621647644E-13</v>
      </c>
      <c r="BG58" s="20">
        <f t="shared" si="7"/>
        <v>6.1170785589788349E-13</v>
      </c>
      <c r="BH58" s="59">
        <f t="shared" si="8"/>
        <v>293.33333333333394</v>
      </c>
      <c r="BI58" s="59">
        <f ca="1">AVERAGE(OFFSET($BH$3,0,0,'Données projet'!$E$11+1,1))-AVERAGE(OFFSET($H$3,0,0,'Données projet'!$E$11+1,1))</f>
        <v>64.256756080189803</v>
      </c>
      <c r="BJ58" s="59">
        <f t="shared" si="38"/>
        <v>209.76343043971747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21.106131049578686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1.2749128758137736E-4</v>
      </c>
      <c r="BS58" s="22">
        <f t="shared" si="9"/>
        <v>21.106258540866268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13.2</v>
      </c>
      <c r="N59" s="13">
        <f>IF('Données projet'!$A$36&gt;35,N58+M59-V58,IF(A59&lt;'Données projet'!$A$36,$K$205^A59,IF(A59='Données projet'!$A$36,'Données projet'!$B$36,N58+M59-V58)))</f>
        <v>395.20000000000005</v>
      </c>
      <c r="O59" s="13">
        <f>N59*VLOOKUP('Données projet'!$B$9,Paramètres!$A$1:$I$89,3,0)*VLOOKUP('Données projet'!$B$9,Paramètres!$A$1:$I$89,5,0)</f>
        <v>220.91680000000002</v>
      </c>
      <c r="P59" s="13">
        <f t="shared" si="33"/>
        <v>54.314099417595145</v>
      </c>
      <c r="Q59" s="20">
        <f t="shared" si="53"/>
        <v>479.36048315231164</v>
      </c>
      <c r="R59" s="59">
        <f t="shared" si="0"/>
        <v>772.6938164856449</v>
      </c>
      <c r="S59" s="59">
        <f ca="1">AVERAGE(OFFSET($R$3,0,0,'Données projet'!$E$9+1,1))-AVERAGE(OFFSET($H$3,0,0,'Données projet'!$E$9+1,1))</f>
        <v>235.10258076192054</v>
      </c>
      <c r="T59" s="59">
        <f t="shared" si="34"/>
        <v>233.47316052603765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2.0471980414336559</v>
      </c>
      <c r="AA59" s="21">
        <f>EXP(-LN(2)/25)*AA58+(1-EXP(-LN(2)/25))/(LN(2)/25)*Calculateur!V59*Calculateur!X59*VLOOKUP('Données projet'!$B$9,Paramètres!$A$1:$I$89,3,0)*0.475*44/12</f>
        <v>8.9653908793163488</v>
      </c>
      <c r="AB59" s="21">
        <f>EXP(-LN(2)/2)*AB58+(1-EXP(-LN(2)/2))/(LN(2)/2)*V59*Y59*VLOOKUP('Données projet'!$B$9,Paramètres!$A$1:$I$89,3,0)*0.475*44/12</f>
        <v>2.9445900540366081E-3</v>
      </c>
      <c r="AC59" s="22">
        <f t="shared" si="3"/>
        <v>11.015533510804042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197.59999999999971</v>
      </c>
      <c r="AJ59" s="13">
        <f>AI59*VLOOKUP('Données projet'!$B$10,Paramètres!$A$1:$I$89,3,0)*VLOOKUP('Données projet'!$B$10,Paramètres!$A$1:$I$89,5,0)</f>
        <v>172.62335999999976</v>
      </c>
      <c r="AK59" s="13">
        <f t="shared" si="35"/>
        <v>43.677044279986035</v>
      </c>
      <c r="AL59" s="20">
        <f t="shared" si="4"/>
        <v>376.72320412097525</v>
      </c>
      <c r="AM59" s="59">
        <f t="shared" si="5"/>
        <v>670.05653745430857</v>
      </c>
      <c r="AN59" s="59">
        <f ca="1">AVERAGE(OFFSET($AM$3,0,0,'Données projet'!$E$10+1,1))-AVERAGE(OFFSET($H$3,0,0,'Données projet'!$E$10+1,1))</f>
        <v>191.94797389630673</v>
      </c>
      <c r="AO59" s="59">
        <f t="shared" si="36"/>
        <v>273.52540822767878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6.8320018095972914</v>
      </c>
      <c r="AW59" s="21">
        <f>EXP(-LN(2)/2)*AW58+(1-EXP(-LN(2)/2))/(LN(2)/2)*AQ59*AT59*VLOOKUP('Données projet'!$B$10,Paramètres!$A$1:$I$89,3,0)*0.475*44/12</f>
        <v>2.8324051415612029E-3</v>
      </c>
      <c r="AX59" s="21">
        <f t="shared" si="6"/>
        <v>8.373334561028388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2.8421709430404007E-14</v>
      </c>
      <c r="BE59" s="13">
        <f>BD59*VLOOKUP('Données projet'!$B$11,Paramètres!$A$1:$I$89,3,0)*VLOOKUP('Données projet'!$B$11,Paramètres!$A$1:$I$89,5,0)</f>
        <v>1.8178525351686402E-14</v>
      </c>
      <c r="BF59" s="13">
        <f t="shared" si="37"/>
        <v>3.3304129621647644E-13</v>
      </c>
      <c r="BG59" s="20">
        <f t="shared" si="7"/>
        <v>6.1170785589788349E-13</v>
      </c>
      <c r="BH59" s="59">
        <f t="shared" si="8"/>
        <v>293.33333333333394</v>
      </c>
      <c r="BI59" s="59">
        <f ca="1">AVERAGE(OFFSET($BH$3,0,0,'Données projet'!$E$11+1,1))-AVERAGE(OFFSET($H$3,0,0,'Données projet'!$E$11+1,1))</f>
        <v>64.256756080189803</v>
      </c>
      <c r="BJ59" s="59">
        <f t="shared" si="38"/>
        <v>209.76343043971747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20.692252693165237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9.0149953990996206E-5</v>
      </c>
      <c r="BS59" s="22">
        <f t="shared" si="9"/>
        <v>20.692342843119228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13.2</v>
      </c>
      <c r="N60" s="13">
        <f>IF('Données projet'!$A$36&gt;35,N59+M60-V59,IF(A60&lt;'Données projet'!$A$36,$K$205^A60,IF(A60='Données projet'!$A$36,'Données projet'!$B$36,N59+M60-V59)))</f>
        <v>408.40000000000003</v>
      </c>
      <c r="O60" s="13">
        <f>N60*VLOOKUP('Données projet'!$B$9,Paramètres!$A$1:$I$89,3,0)*VLOOKUP('Données projet'!$B$9,Paramètres!$A$1:$I$89,5,0)</f>
        <v>228.29560000000004</v>
      </c>
      <c r="P60" s="13">
        <f t="shared" si="33"/>
        <v>55.913991019426796</v>
      </c>
      <c r="Q60" s="20">
        <f t="shared" si="53"/>
        <v>494.99837102550174</v>
      </c>
      <c r="R60" s="59">
        <f t="shared" si="0"/>
        <v>788.33170435883505</v>
      </c>
      <c r="S60" s="59">
        <f ca="1">AVERAGE(OFFSET($R$3,0,0,'Données projet'!$E$9+1,1))-AVERAGE(OFFSET($H$3,0,0,'Données projet'!$E$9+1,1))</f>
        <v>235.10258076192054</v>
      </c>
      <c r="T60" s="59">
        <f t="shared" si="34"/>
        <v>233.47316052603765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2.0070537365086514</v>
      </c>
      <c r="AA60" s="21">
        <f>EXP(-LN(2)/25)*AA59+(1-EXP(-LN(2)/25))/(LN(2)/25)*Calculateur!V60*Calculateur!X60*VLOOKUP('Données projet'!$B$9,Paramètres!$A$1:$I$89,3,0)*0.475*44/12</f>
        <v>8.7202317942520278</v>
      </c>
      <c r="AB60" s="21">
        <f>EXP(-LN(2)/2)*AB59+(1-EXP(-LN(2)/2))/(LN(2)/2)*V60*Y60*VLOOKUP('Données projet'!$B$9,Paramètres!$A$1:$I$89,3,0)*0.475*44/12</f>
        <v>2.0821395950237479E-3</v>
      </c>
      <c r="AC60" s="22">
        <f t="shared" si="3"/>
        <v>10.729367670355701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203.1999999999997</v>
      </c>
      <c r="AJ60" s="13">
        <f>AI60*VLOOKUP('Données projet'!$B$10,Paramètres!$A$1:$I$89,3,0)*VLOOKUP('Données projet'!$B$10,Paramètres!$A$1:$I$89,5,0)</f>
        <v>177.51551999999975</v>
      </c>
      <c r="AK60" s="13">
        <f t="shared" si="35"/>
        <v>44.768988809542861</v>
      </c>
      <c r="AL60" s="20">
        <f t="shared" si="4"/>
        <v>387.14551950995337</v>
      </c>
      <c r="AM60" s="59">
        <f t="shared" si="5"/>
        <v>680.47885284328663</v>
      </c>
      <c r="AN60" s="59">
        <f ca="1">AVERAGE(OFFSET($AM$3,0,0,'Données projet'!$E$10+1,1))-AVERAGE(OFFSET($H$3,0,0,'Données projet'!$E$10+1,1))</f>
        <v>191.94797389630673</v>
      </c>
      <c r="AO60" s="59">
        <f t="shared" si="36"/>
        <v>273.52540822767878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6.6451803608344928</v>
      </c>
      <c r="AW60" s="21">
        <f>EXP(-LN(2)/2)*AW59+(1-EXP(-LN(2)/2))/(LN(2)/2)*AQ60*AT60*VLOOKUP('Données projet'!$B$10,Paramètres!$A$1:$I$89,3,0)*0.475*44/12</f>
        <v>2.0028128826655696E-3</v>
      </c>
      <c r="AX60" s="21">
        <f t="shared" si="6"/>
        <v>8.1555144666085084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2.8421709430404007E-14</v>
      </c>
      <c r="BE60" s="13">
        <f>BD60*VLOOKUP('Données projet'!$B$11,Paramètres!$A$1:$I$89,3,0)*VLOOKUP('Données projet'!$B$11,Paramètres!$A$1:$I$89,5,0)</f>
        <v>1.8178525351686402E-14</v>
      </c>
      <c r="BF60" s="13">
        <f t="shared" si="37"/>
        <v>3.3304129621647644E-13</v>
      </c>
      <c r="BG60" s="20">
        <f t="shared" si="7"/>
        <v>6.1170785589788349E-13</v>
      </c>
      <c r="BH60" s="59">
        <f t="shared" si="8"/>
        <v>293.33333333333394</v>
      </c>
      <c r="BI60" s="59">
        <f ca="1">AVERAGE(OFFSET($BH$3,0,0,'Données projet'!$E$11+1,1))-AVERAGE(OFFSET($H$3,0,0,'Données projet'!$E$11+1,1))</f>
        <v>64.256756080189803</v>
      </c>
      <c r="BJ60" s="59">
        <f t="shared" si="38"/>
        <v>209.76343043971747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20.286490238880187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6.3745643790688681E-5</v>
      </c>
      <c r="BS60" s="22">
        <f t="shared" si="9"/>
        <v>20.286553984523977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13.2</v>
      </c>
      <c r="N61" s="13">
        <f>IF('Données projet'!$A$36&gt;35,N60+M61-V60,IF(A61&lt;'Données projet'!$A$36,$K$205^A61,IF(A61='Données projet'!$A$36,'Données projet'!$B$36,N60+M61-V60)))</f>
        <v>421.6</v>
      </c>
      <c r="O61" s="13">
        <f>N61*VLOOKUP('Données projet'!$B$9,Paramètres!$A$1:$I$89,3,0)*VLOOKUP('Données projet'!$B$9,Paramètres!$A$1:$I$89,5,0)</f>
        <v>235.67440000000002</v>
      </c>
      <c r="P61" s="13">
        <f t="shared" si="33"/>
        <v>57.507873721817681</v>
      </c>
      <c r="Q61" s="20">
        <f t="shared" si="53"/>
        <v>510.62579339883246</v>
      </c>
      <c r="R61" s="59">
        <f t="shared" si="0"/>
        <v>803.95912673216571</v>
      </c>
      <c r="S61" s="59">
        <f ca="1">AVERAGE(OFFSET($R$3,0,0,'Données projet'!$E$9+1,1))-AVERAGE(OFFSET($H$3,0,0,'Données projet'!$E$9+1,1))</f>
        <v>235.10258076192054</v>
      </c>
      <c r="T61" s="59">
        <f t="shared" si="34"/>
        <v>233.47316052603765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1.9676966369176181</v>
      </c>
      <c r="AA61" s="21">
        <f>EXP(-LN(2)/25)*AA60+(1-EXP(-LN(2)/25))/(LN(2)/25)*Calculateur!V61*Calculateur!X61*VLOOKUP('Données projet'!$B$9,Paramètres!$A$1:$I$89,3,0)*0.475*44/12</f>
        <v>8.4817765972611472</v>
      </c>
      <c r="AB61" s="21">
        <f>EXP(-LN(2)/2)*AB60+(1-EXP(-LN(2)/2))/(LN(2)/2)*V61*Y61*VLOOKUP('Données projet'!$B$9,Paramètres!$A$1:$I$89,3,0)*0.475*44/12</f>
        <v>1.472295027018304E-3</v>
      </c>
      <c r="AC61" s="22">
        <f t="shared" si="3"/>
        <v>10.450945529205782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208.7999999999997</v>
      </c>
      <c r="AJ61" s="13">
        <f>AI61*VLOOKUP('Données projet'!$B$10,Paramètres!$A$1:$I$89,3,0)*VLOOKUP('Données projet'!$B$10,Paramètres!$A$1:$I$89,5,0)</f>
        <v>182.40767999999977</v>
      </c>
      <c r="AK61" s="13">
        <f t="shared" si="35"/>
        <v>45.857435663065878</v>
      </c>
      <c r="AL61" s="20">
        <f t="shared" si="4"/>
        <v>397.56174311317267</v>
      </c>
      <c r="AM61" s="59">
        <f t="shared" si="5"/>
        <v>690.89507644650598</v>
      </c>
      <c r="AN61" s="59">
        <f ca="1">AVERAGE(OFFSET($AM$3,0,0,'Données projet'!$E$10+1,1))-AVERAGE(OFFSET($H$3,0,0,'Données projet'!$E$10+1,1))</f>
        <v>191.94797389630673</v>
      </c>
      <c r="AO61" s="59">
        <f t="shared" si="36"/>
        <v>273.52540822767878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6.4634675544126265</v>
      </c>
      <c r="AW61" s="21">
        <f>EXP(-LN(2)/2)*AW60+(1-EXP(-LN(2)/2))/(LN(2)/2)*AQ61*AT61*VLOOKUP('Données projet'!$B$10,Paramètres!$A$1:$I$89,3,0)*0.475*44/12</f>
        <v>1.4162025707806015E-3</v>
      </c>
      <c r="AX61" s="21">
        <f t="shared" si="6"/>
        <v>7.9436375932124061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2.8421709430404007E-14</v>
      </c>
      <c r="BE61" s="13">
        <f>BD61*VLOOKUP('Données projet'!$B$11,Paramètres!$A$1:$I$89,3,0)*VLOOKUP('Données projet'!$B$11,Paramètres!$A$1:$I$89,5,0)</f>
        <v>1.8178525351686402E-14</v>
      </c>
      <c r="BF61" s="13">
        <f t="shared" si="37"/>
        <v>3.3304129621647644E-13</v>
      </c>
      <c r="BG61" s="20">
        <f t="shared" si="7"/>
        <v>6.1170785589788349E-13</v>
      </c>
      <c r="BH61" s="59">
        <f t="shared" si="8"/>
        <v>293.33333333333394</v>
      </c>
      <c r="BI61" s="59">
        <f ca="1">AVERAGE(OFFSET($BH$3,0,0,'Données projet'!$E$11+1,1))-AVERAGE(OFFSET($H$3,0,0,'Données projet'!$E$11+1,1))</f>
        <v>64.256756080189803</v>
      </c>
      <c r="BJ61" s="59">
        <f t="shared" si="38"/>
        <v>209.76343043971747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19.888684538833008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4.5074976995498103E-5</v>
      </c>
      <c r="BS61" s="22">
        <f t="shared" si="9"/>
        <v>19.888729613810003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13.2</v>
      </c>
      <c r="N62" s="13">
        <f>IF('Données projet'!$A$36&gt;35,N61+M62-V61,IF(A62&lt;'Données projet'!$A$36,$K$205^A62,IF(A62='Données projet'!$A$36,'Données projet'!$B$36,N61+M62-V61)))</f>
        <v>434.8</v>
      </c>
      <c r="O62" s="13">
        <f>N62*VLOOKUP('Données projet'!$B$9,Paramètres!$A$1:$I$89,3,0)*VLOOKUP('Données projet'!$B$9,Paramètres!$A$1:$I$89,5,0)</f>
        <v>243.0532</v>
      </c>
      <c r="P62" s="13">
        <f t="shared" si="33"/>
        <v>59.095957245305804</v>
      </c>
      <c r="Q62" s="20">
        <f t="shared" si="53"/>
        <v>526.24311553557425</v>
      </c>
      <c r="R62" s="59">
        <f t="shared" si="0"/>
        <v>819.57644886890762</v>
      </c>
      <c r="S62" s="59">
        <f ca="1">AVERAGE(OFFSET($R$3,0,0,'Données projet'!$E$9+1,1))-AVERAGE(OFFSET($H$3,0,0,'Données projet'!$E$9+1,1))</f>
        <v>235.10258076192054</v>
      </c>
      <c r="T62" s="59">
        <f t="shared" si="34"/>
        <v>233.47316052603765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1.9291113060441045</v>
      </c>
      <c r="AA62" s="21">
        <f>EXP(-LN(2)/25)*AA61+(1-EXP(-LN(2)/25))/(LN(2)/25)*Calculateur!V62*Calculateur!X62*VLOOKUP('Données projet'!$B$9,Paramètres!$A$1:$I$89,3,0)*0.475*44/12</f>
        <v>8.2498419701717953</v>
      </c>
      <c r="AB62" s="21">
        <f>EXP(-LN(2)/2)*AB61+(1-EXP(-LN(2)/2))/(LN(2)/2)*V62*Y62*VLOOKUP('Données projet'!$B$9,Paramètres!$A$1:$I$89,3,0)*0.475*44/12</f>
        <v>1.041069797511874E-3</v>
      </c>
      <c r="AC62" s="22">
        <f t="shared" si="3"/>
        <v>10.179994346013412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214.39999999999969</v>
      </c>
      <c r="AJ62" s="13">
        <f>AI62*VLOOKUP('Données projet'!$B$10,Paramètres!$A$1:$I$89,3,0)*VLOOKUP('Données projet'!$B$10,Paramètres!$A$1:$I$89,5,0)</f>
        <v>187.29983999999976</v>
      </c>
      <c r="AK62" s="13">
        <f t="shared" si="35"/>
        <v>46.942489429228068</v>
      </c>
      <c r="AL62" s="20">
        <f t="shared" si="4"/>
        <v>407.97205708923843</v>
      </c>
      <c r="AM62" s="59">
        <f t="shared" si="5"/>
        <v>701.30539042257169</v>
      </c>
      <c r="AN62" s="59">
        <f ca="1">AVERAGE(OFFSET($AM$3,0,0,'Données projet'!$E$10+1,1))-AVERAGE(OFFSET($H$3,0,0,'Données projet'!$E$10+1,1))</f>
        <v>191.94797389630673</v>
      </c>
      <c r="AO62" s="59">
        <f t="shared" si="36"/>
        <v>273.52540822767878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6.2867236942382272</v>
      </c>
      <c r="AW62" s="21">
        <f>EXP(-LN(2)/2)*AW61+(1-EXP(-LN(2)/2))/(LN(2)/2)*AQ62*AT62*VLOOKUP('Données projet'!$B$10,Paramètres!$A$1:$I$89,3,0)*0.475*44/12</f>
        <v>1.0014064413327848E-3</v>
      </c>
      <c r="AX62" s="21">
        <f t="shared" si="6"/>
        <v>7.7374814761308883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2.8421709430404007E-14</v>
      </c>
      <c r="BE62" s="13">
        <f>BD62*VLOOKUP('Données projet'!$B$11,Paramètres!$A$1:$I$89,3,0)*VLOOKUP('Données projet'!$B$11,Paramètres!$A$1:$I$89,5,0)</f>
        <v>1.8178525351686402E-14</v>
      </c>
      <c r="BF62" s="13">
        <f t="shared" si="37"/>
        <v>3.3304129621647644E-13</v>
      </c>
      <c r="BG62" s="20">
        <f t="shared" si="7"/>
        <v>6.1170785589788349E-13</v>
      </c>
      <c r="BH62" s="59">
        <f t="shared" si="8"/>
        <v>293.33333333333394</v>
      </c>
      <c r="BI62" s="59">
        <f ca="1">AVERAGE(OFFSET($BH$3,0,0,'Données projet'!$E$11+1,1))-AVERAGE(OFFSET($H$3,0,0,'Données projet'!$E$11+1,1))</f>
        <v>64.256756080189803</v>
      </c>
      <c r="BJ62" s="59">
        <f t="shared" si="38"/>
        <v>209.76343043971747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19.498679565926235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3.187282189534434E-5</v>
      </c>
      <c r="BS62" s="22">
        <f t="shared" si="9"/>
        <v>19.498711438748131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448</v>
      </c>
      <c r="L63" s="12">
        <f>VLOOKUP(A63,'Données projet'!$A$35:$I$55,9,0)</f>
        <v>13.2</v>
      </c>
      <c r="M63" s="12">
        <f t="array" ref="M63">INDEX(L:L,MIN(IF(ISNUMBER(L63:L259),ROW(L63:L259),"")))</f>
        <v>13.2</v>
      </c>
      <c r="N63" s="13">
        <f>IF('Données projet'!$A$36&gt;35,N62+M63-V62,IF(A63&lt;'Données projet'!$A$36,$K$205^A63,IF(A63='Données projet'!$A$36,'Données projet'!$B$36,N62+M63-V62)))</f>
        <v>448</v>
      </c>
      <c r="O63" s="13">
        <f>N63*VLOOKUP('Données projet'!$B$9,Paramètres!$A$1:$I$89,3,0)*VLOOKUP('Données projet'!$B$9,Paramètres!$A$1:$I$89,5,0)</f>
        <v>250.43199999999999</v>
      </c>
      <c r="P63" s="13">
        <f t="shared" si="33"/>
        <v>60.67843785311895</v>
      </c>
      <c r="Q63" s="20">
        <f t="shared" si="53"/>
        <v>541.85067926084878</v>
      </c>
      <c r="R63" s="59">
        <f t="shared" si="0"/>
        <v>835.18401259418215</v>
      </c>
      <c r="S63" s="59">
        <f ca="1">AVERAGE(OFFSET($R$3,0,0,'Données projet'!$E$9+1,1))-AVERAGE(OFFSET($H$3,0,0,'Données projet'!$E$9+1,1))</f>
        <v>235.10258076192054</v>
      </c>
      <c r="T63" s="59">
        <f t="shared" si="34"/>
        <v>233.47316052603765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69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1.8912826099742925</v>
      </c>
      <c r="AA63" s="21">
        <f>EXP(-LN(2)/25)*AA62+(1-EXP(-LN(2)/25))/(LN(2)/25)*Calculateur!V63*Calculateur!X63*VLOOKUP('Données projet'!$B$9,Paramètres!$A$1:$I$89,3,0)*0.475*44/12</f>
        <v>8.0242496076571133</v>
      </c>
      <c r="AB63" s="21">
        <f>EXP(-LN(2)/2)*AB62+(1-EXP(-LN(2)/2))/(LN(2)/2)*V63*Y63*VLOOKUP('Données projet'!$B$9,Paramètres!$A$1:$I$89,3,0)*0.475*44/12</f>
        <v>7.3614751350915201E-4</v>
      </c>
      <c r="AC63" s="22">
        <f t="shared" si="3"/>
        <v>9.9162683651449139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219.99999999999969</v>
      </c>
      <c r="AJ63" s="13">
        <f>AI63*VLOOKUP('Données projet'!$B$10,Paramètres!$A$1:$I$89,3,0)*VLOOKUP('Données projet'!$B$10,Paramètres!$A$1:$I$89,5,0)</f>
        <v>192.19199999999975</v>
      </c>
      <c r="AK63" s="13">
        <f t="shared" si="35"/>
        <v>48.024248921932397</v>
      </c>
      <c r="AL63" s="20">
        <f t="shared" si="4"/>
        <v>418.37663353903184</v>
      </c>
      <c r="AM63" s="59">
        <f t="shared" si="5"/>
        <v>711.70996687236516</v>
      </c>
      <c r="AN63" s="59">
        <f ca="1">AVERAGE(OFFSET($AM$3,0,0,'Données projet'!$E$10+1,1))-AVERAGE(OFFSET($H$3,0,0,'Données projet'!$E$10+1,1))</f>
        <v>191.94797389630673</v>
      </c>
      <c r="AO63" s="59">
        <f t="shared" si="36"/>
        <v>273.52540822767878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6.114812904214852</v>
      </c>
      <c r="AW63" s="21">
        <f>EXP(-LN(2)/2)*AW62+(1-EXP(-LN(2)/2))/(LN(2)/2)*AQ63*AT63*VLOOKUP('Données projet'!$B$10,Paramètres!$A$1:$I$89,3,0)*0.475*44/12</f>
        <v>7.0810128539030074E-4</v>
      </c>
      <c r="AX63" s="21">
        <f t="shared" si="6"/>
        <v>7.5368485426930452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2.8421709430404007E-14</v>
      </c>
      <c r="BE63" s="13">
        <f>BD63*VLOOKUP('Données projet'!$B$11,Paramètres!$A$1:$I$89,3,0)*VLOOKUP('Données projet'!$B$11,Paramètres!$A$1:$I$89,5,0)</f>
        <v>1.8178525351686402E-14</v>
      </c>
      <c r="BF63" s="13">
        <f t="shared" si="37"/>
        <v>3.3304129621647644E-13</v>
      </c>
      <c r="BG63" s="20">
        <f t="shared" si="7"/>
        <v>6.1170785589788349E-13</v>
      </c>
      <c r="BH63" s="59">
        <f t="shared" si="8"/>
        <v>293.33333333333394</v>
      </c>
      <c r="BI63" s="59">
        <f ca="1">AVERAGE(OFFSET($BH$3,0,0,'Données projet'!$E$11+1,1))-AVERAGE(OFFSET($H$3,0,0,'Données projet'!$E$11+1,1))</f>
        <v>64.256756080189803</v>
      </c>
      <c r="BJ63" s="59">
        <f t="shared" si="38"/>
        <v>209.76343043971747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19.116322352658617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2.2537488497749051E-5</v>
      </c>
      <c r="BS63" s="22">
        <f t="shared" si="9"/>
        <v>19.116344890147115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10.6</v>
      </c>
      <c r="N64" s="13">
        <f>IF('Données projet'!$A$36&gt;35,N63+M64-V63,IF(A64&lt;'Données projet'!$A$36,$K$205^A64,IF(A64='Données projet'!$A$36,'Données projet'!$B$36,N63+M64-V63)))</f>
        <v>389.6</v>
      </c>
      <c r="O64" s="13">
        <f>N64*VLOOKUP('Données projet'!$B$9,Paramètres!$A$1:$I$89,3,0)*VLOOKUP('Données projet'!$B$9,Paramètres!$A$1:$I$89,5,0)</f>
        <v>217.78640000000004</v>
      </c>
      <c r="P64" s="13">
        <f t="shared" si="33"/>
        <v>53.633487897074971</v>
      </c>
      <c r="Q64" s="20">
        <f t="shared" si="53"/>
        <v>472.72297142073893</v>
      </c>
      <c r="R64" s="59">
        <f t="shared" si="0"/>
        <v>766.05630475407224</v>
      </c>
      <c r="S64" s="59">
        <f ca="1">AVERAGE(OFFSET($R$3,0,0,'Données projet'!$E$9+1,1))-AVERAGE(OFFSET($H$3,0,0,'Données projet'!$E$9+1,1))</f>
        <v>235.10258076192054</v>
      </c>
      <c r="T64" s="59">
        <f t="shared" si="34"/>
        <v>233.47316052603765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1.8541957115611833</v>
      </c>
      <c r="AA64" s="21">
        <f>EXP(-LN(2)/25)*AA63+(1-EXP(-LN(2)/25))/(LN(2)/25)*Calculateur!V64*Calculateur!X64*VLOOKUP('Données projet'!$B$9,Paramètres!$A$1:$I$89,3,0)*0.475*44/12</f>
        <v>7.8048260801587821</v>
      </c>
      <c r="AB64" s="21">
        <f>EXP(-LN(2)/2)*AB63+(1-EXP(-LN(2)/2))/(LN(2)/2)*V64*Y64*VLOOKUP('Données projet'!$B$9,Paramètres!$A$1:$I$89,3,0)*0.475*44/12</f>
        <v>5.2053489875593698E-4</v>
      </c>
      <c r="AC64" s="22">
        <f t="shared" si="3"/>
        <v>9.6595423266187215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4.3</v>
      </c>
      <c r="AI64" s="13">
        <f>IF('Données projet'!$A$62&gt;35,AI63+AH64-AQ63,IF(A64&lt;'Données projet'!$A$62,$AF$205^A64,IF(A64='Données projet'!$A$62,'Données projet'!$B$62,AI63+AH64-AQ63)))</f>
        <v>184.2999999999997</v>
      </c>
      <c r="AJ64" s="13">
        <f>AI64*VLOOKUP('Données projet'!$B$10,Paramètres!$A$1:$I$89,3,0)*VLOOKUP('Données projet'!$B$10,Paramètres!$A$1:$I$89,5,0)</f>
        <v>161.00447999999975</v>
      </c>
      <c r="AK64" s="13">
        <f t="shared" si="35"/>
        <v>41.068996085697087</v>
      </c>
      <c r="AL64" s="20">
        <f t="shared" si="4"/>
        <v>351.9446375159219</v>
      </c>
      <c r="AM64" s="59">
        <f t="shared" si="5"/>
        <v>645.27797084925521</v>
      </c>
      <c r="AN64" s="59">
        <f ca="1">AVERAGE(OFFSET($AM$3,0,0,'Données projet'!$E$10+1,1))-AVERAGE(OFFSET($H$3,0,0,'Données projet'!$E$10+1,1))</f>
        <v>191.94797389630673</v>
      </c>
      <c r="AO64" s="59">
        <f t="shared" si="36"/>
        <v>273.52540822767878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5.9476030237850619</v>
      </c>
      <c r="AW64" s="21">
        <f>EXP(-LN(2)/2)*AW63+(1-EXP(-LN(2)/2))/(LN(2)/2)*AQ64*AT64*VLOOKUP('Données projet'!$B$10,Paramètres!$A$1:$I$89,3,0)*0.475*44/12</f>
        <v>5.0070322066639241E-4</v>
      </c>
      <c r="AX64" s="21">
        <f t="shared" si="6"/>
        <v>7.3415598981183763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2.8421709430404007E-14</v>
      </c>
      <c r="BE64" s="13">
        <f>BD64*VLOOKUP('Données projet'!$B$11,Paramètres!$A$1:$I$89,3,0)*VLOOKUP('Données projet'!$B$11,Paramètres!$A$1:$I$89,5,0)</f>
        <v>1.8178525351686402E-14</v>
      </c>
      <c r="BF64" s="13">
        <f t="shared" si="37"/>
        <v>3.3304129621647644E-13</v>
      </c>
      <c r="BG64" s="20">
        <f t="shared" si="7"/>
        <v>6.1170785589788349E-13</v>
      </c>
      <c r="BH64" s="59">
        <f t="shared" si="8"/>
        <v>293.33333333333394</v>
      </c>
      <c r="BI64" s="59">
        <f ca="1">AVERAGE(OFFSET($BH$3,0,0,'Données projet'!$E$11+1,1))-AVERAGE(OFFSET($H$3,0,0,'Données projet'!$E$11+1,1))</f>
        <v>64.256756080189803</v>
      </c>
      <c r="BJ64" s="59">
        <f t="shared" si="38"/>
        <v>209.76343043971747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18.741462931128307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1.593641094767217E-5</v>
      </c>
      <c r="BS64" s="22">
        <f t="shared" si="9"/>
        <v>18.741478867539254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10.6</v>
      </c>
      <c r="N65" s="13">
        <f>IF('Données projet'!$A$36&gt;35,N64+M65-V64,IF(A65&lt;'Données projet'!$A$36,$K$205^A65,IF(A65='Données projet'!$A$36,'Données projet'!$B$36,N64+M65-V64)))</f>
        <v>400.20000000000005</v>
      </c>
      <c r="O65" s="13">
        <f>N65*VLOOKUP('Données projet'!$B$9,Paramètres!$A$1:$I$89,3,0)*VLOOKUP('Données projet'!$B$9,Paramètres!$A$1:$I$89,5,0)</f>
        <v>223.71180000000001</v>
      </c>
      <c r="P65" s="13">
        <f t="shared" si="33"/>
        <v>54.920839869581336</v>
      </c>
      <c r="Q65" s="20">
        <f t="shared" si="53"/>
        <v>485.28518110618751</v>
      </c>
      <c r="R65" s="59">
        <f t="shared" si="0"/>
        <v>778.61851443952082</v>
      </c>
      <c r="S65" s="59">
        <f ca="1">AVERAGE(OFFSET($R$3,0,0,'Données projet'!$E$9+1,1))-AVERAGE(OFFSET($H$3,0,0,'Données projet'!$E$9+1,1))</f>
        <v>235.10258076192054</v>
      </c>
      <c r="T65" s="59">
        <f t="shared" si="34"/>
        <v>233.47316052603765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1.8178360646051808</v>
      </c>
      <c r="AA65" s="21">
        <f>EXP(-LN(2)/25)*AA64+(1-EXP(-LN(2)/25))/(LN(2)/25)*Calculateur!V65*Calculateur!X65*VLOOKUP('Données projet'!$B$9,Paramètres!$A$1:$I$89,3,0)*0.475*44/12</f>
        <v>7.5914027005588745</v>
      </c>
      <c r="AB65" s="21">
        <f>EXP(-LN(2)/2)*AB64+(1-EXP(-LN(2)/2))/(LN(2)/2)*V65*Y65*VLOOKUP('Données projet'!$B$9,Paramètres!$A$1:$I$89,3,0)*0.475*44/12</f>
        <v>3.6807375675457601E-4</v>
      </c>
      <c r="AC65" s="22">
        <f t="shared" si="3"/>
        <v>9.4096068389208103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4.3</v>
      </c>
      <c r="AI65" s="13">
        <f>IF('Données projet'!$A$62&gt;35,AI64+AH65-AQ64,IF(A65&lt;'Données projet'!$A$62,$AF$205^A65,IF(A65='Données projet'!$A$62,'Données projet'!$B$62,AI64+AH65-AQ64)))</f>
        <v>188.59999999999971</v>
      </c>
      <c r="AJ65" s="13">
        <f>AI65*VLOOKUP('Données projet'!$B$10,Paramètres!$A$1:$I$89,3,0)*VLOOKUP('Données projet'!$B$10,Paramètres!$A$1:$I$89,5,0)</f>
        <v>164.76095999999976</v>
      </c>
      <c r="AK65" s="13">
        <f t="shared" si="35"/>
        <v>41.914523809719867</v>
      </c>
      <c r="AL65" s="20">
        <f t="shared" si="4"/>
        <v>359.95980096859495</v>
      </c>
      <c r="AM65" s="59">
        <f t="shared" si="5"/>
        <v>653.29313430192826</v>
      </c>
      <c r="AN65" s="59">
        <f ca="1">AVERAGE(OFFSET($AM$3,0,0,'Données projet'!$E$10+1,1))-AVERAGE(OFFSET($H$3,0,0,'Données projet'!$E$10+1,1))</f>
        <v>191.94797389630673</v>
      </c>
      <c r="AO65" s="59">
        <f t="shared" si="36"/>
        <v>273.52540822767878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5.7849655063288097</v>
      </c>
      <c r="AW65" s="21">
        <f>EXP(-LN(2)/2)*AW64+(1-EXP(-LN(2)/2))/(LN(2)/2)*AQ65*AT65*VLOOKUP('Données projet'!$B$10,Paramètres!$A$1:$I$89,3,0)*0.475*44/12</f>
        <v>3.5405064269515037E-4</v>
      </c>
      <c r="AX65" s="21">
        <f t="shared" si="6"/>
        <v>7.1514509024929751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2.8421709430404007E-14</v>
      </c>
      <c r="BE65" s="13">
        <f>BD65*VLOOKUP('Données projet'!$B$11,Paramètres!$A$1:$I$89,3,0)*VLOOKUP('Données projet'!$B$11,Paramètres!$A$1:$I$89,5,0)</f>
        <v>1.8178525351686402E-14</v>
      </c>
      <c r="BF65" s="13">
        <f t="shared" si="37"/>
        <v>3.3304129621647644E-13</v>
      </c>
      <c r="BG65" s="20">
        <f t="shared" si="7"/>
        <v>6.1170785589788349E-13</v>
      </c>
      <c r="BH65" s="59">
        <f t="shared" si="8"/>
        <v>293.33333333333394</v>
      </c>
      <c r="BI65" s="59">
        <f ca="1">AVERAGE(OFFSET($BH$3,0,0,'Données projet'!$E$11+1,1))-AVERAGE(OFFSET($H$3,0,0,'Données projet'!$E$11+1,1))</f>
        <v>64.256756080189803</v>
      </c>
      <c r="BJ65" s="59">
        <f t="shared" si="38"/>
        <v>209.76343043971747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18.373954274212537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1.1268744248874526E-5</v>
      </c>
      <c r="BS65" s="22">
        <f t="shared" si="9"/>
        <v>18.373965542956785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10.6</v>
      </c>
      <c r="N66" s="13">
        <f>IF('Données projet'!$A$36&gt;35,N65+M66-V65,IF(A66&lt;'Données projet'!$A$36,$K$205^A66,IF(A66='Données projet'!$A$36,'Données projet'!$B$36,N65+M66-V65)))</f>
        <v>410.80000000000007</v>
      </c>
      <c r="O66" s="13">
        <f>N66*VLOOKUP('Données projet'!$B$9,Paramètres!$A$1:$I$89,3,0)*VLOOKUP('Données projet'!$B$9,Paramètres!$A$1:$I$89,5,0)</f>
        <v>229.63720000000006</v>
      </c>
      <c r="P66" s="13">
        <f t="shared" si="33"/>
        <v>56.204228482988938</v>
      </c>
      <c r="Q66" s="20">
        <f t="shared" si="53"/>
        <v>497.84048794120577</v>
      </c>
      <c r="R66" s="59">
        <f t="shared" si="0"/>
        <v>791.17382127453902</v>
      </c>
      <c r="S66" s="59">
        <f ca="1">AVERAGE(OFFSET($R$3,0,0,'Données projet'!$E$9+1,1))-AVERAGE(OFFSET($H$3,0,0,'Données projet'!$E$9+1,1))</f>
        <v>235.10258076192054</v>
      </c>
      <c r="T66" s="59">
        <f t="shared" si="34"/>
        <v>233.47316052603765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1.7821894081487906</v>
      </c>
      <c r="AA66" s="21">
        <f>EXP(-LN(2)/25)*AA65+(1-EXP(-LN(2)/25))/(LN(2)/25)*Calculateur!V66*Calculateur!X66*VLOOKUP('Données projet'!$B$9,Paramètres!$A$1:$I$89,3,0)*0.475*44/12</f>
        <v>7.3838153944975744</v>
      </c>
      <c r="AB66" s="21">
        <f>EXP(-LN(2)/2)*AB65+(1-EXP(-LN(2)/2))/(LN(2)/2)*V66*Y66*VLOOKUP('Données projet'!$B$9,Paramètres!$A$1:$I$89,3,0)*0.475*44/12</f>
        <v>2.6026744937796849E-4</v>
      </c>
      <c r="AC66" s="22">
        <f t="shared" si="3"/>
        <v>9.1662650700957418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4.3</v>
      </c>
      <c r="AI66" s="13">
        <f>IF('Données projet'!$A$62&gt;35,AI65+AH66-AQ65,IF(A66&lt;'Données projet'!$A$62,$AF$205^A66,IF(A66='Données projet'!$A$62,'Données projet'!$B$62,AI65+AH66-AQ65)))</f>
        <v>192.89999999999972</v>
      </c>
      <c r="AJ66" s="13">
        <f>AI66*VLOOKUP('Données projet'!$B$10,Paramètres!$A$1:$I$89,3,0)*VLOOKUP('Données projet'!$B$10,Paramètres!$A$1:$I$89,5,0)</f>
        <v>168.51743999999979</v>
      </c>
      <c r="AK66" s="13">
        <f t="shared" si="35"/>
        <v>42.757810382238745</v>
      </c>
      <c r="AL66" s="20">
        <f t="shared" si="4"/>
        <v>367.97106108239876</v>
      </c>
      <c r="AM66" s="59">
        <f t="shared" si="5"/>
        <v>661.30439441573208</v>
      </c>
      <c r="AN66" s="59">
        <f ca="1">AVERAGE(OFFSET($AM$3,0,0,'Données projet'!$E$10+1,1))-AVERAGE(OFFSET($H$3,0,0,'Données projet'!$E$10+1,1))</f>
        <v>191.94797389630673</v>
      </c>
      <c r="AO66" s="59">
        <f t="shared" si="36"/>
        <v>273.52540822767878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5.6267753203401343</v>
      </c>
      <c r="AW66" s="21">
        <f>EXP(-LN(2)/2)*AW65+(1-EXP(-LN(2)/2))/(LN(2)/2)*AQ66*AT66*VLOOKUP('Données projet'!$B$10,Paramètres!$A$1:$I$89,3,0)*0.475*44/12</f>
        <v>2.503516103331962E-4</v>
      </c>
      <c r="AX66" s="21">
        <f t="shared" si="6"/>
        <v>6.9663680150441047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2.8421709430404007E-14</v>
      </c>
      <c r="BE66" s="13">
        <f>BD66*VLOOKUP('Données projet'!$B$11,Paramètres!$A$1:$I$89,3,0)*VLOOKUP('Données projet'!$B$11,Paramètres!$A$1:$I$89,5,0)</f>
        <v>1.8178525351686402E-14</v>
      </c>
      <c r="BF66" s="13">
        <f t="shared" si="37"/>
        <v>3.3304129621647644E-13</v>
      </c>
      <c r="BG66" s="20">
        <f t="shared" si="7"/>
        <v>6.1170785589788349E-13</v>
      </c>
      <c r="BH66" s="59">
        <f t="shared" si="8"/>
        <v>293.33333333333394</v>
      </c>
      <c r="BI66" s="59">
        <f ca="1">AVERAGE(OFFSET($BH$3,0,0,'Données projet'!$E$11+1,1))-AVERAGE(OFFSET($H$3,0,0,'Données projet'!$E$11+1,1))</f>
        <v>64.256756080189803</v>
      </c>
      <c r="BJ66" s="59">
        <f t="shared" si="38"/>
        <v>209.76343043971747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18.013652237900736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7.9682054738360851E-6</v>
      </c>
      <c r="BS66" s="22">
        <f t="shared" si="9"/>
        <v>18.013660206106209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10.6</v>
      </c>
      <c r="N67" s="13">
        <f>IF('Données projet'!$A$36&gt;35,N66+M67-V66,IF(A67&lt;'Données projet'!$A$36,$K$205^A67,IF(A67='Données projet'!$A$36,'Données projet'!$B$36,N66+M67-V66)))</f>
        <v>421.40000000000009</v>
      </c>
      <c r="O67" s="13">
        <f>N67*VLOOKUP('Données projet'!$B$9,Paramètres!$A$1:$I$89,3,0)*VLOOKUP('Données projet'!$B$9,Paramètres!$A$1:$I$89,5,0)</f>
        <v>235.56260000000003</v>
      </c>
      <c r="P67" s="13">
        <f t="shared" si="33"/>
        <v>57.48376776337534</v>
      </c>
      <c r="Q67" s="20">
        <f t="shared" ref="Q67:Q98" si="54">(O67+P67)*0.475*44/12</f>
        <v>510.38909052121204</v>
      </c>
      <c r="R67" s="59">
        <f t="shared" ref="R67:R130" si="55">Q67+(I67+J67)*44/12</f>
        <v>803.72242385454535</v>
      </c>
      <c r="S67" s="59">
        <f ca="1">AVERAGE(OFFSET($R$3,0,0,'Données projet'!$E$9+1,1))-AVERAGE(OFFSET($H$3,0,0,'Données projet'!$E$9+1,1))</f>
        <v>235.10258076192054</v>
      </c>
      <c r="T67" s="59">
        <f t="shared" si="34"/>
        <v>233.47316052603765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1.7472417608831967</v>
      </c>
      <c r="AA67" s="21">
        <f>EXP(-LN(2)/25)*AA66+(1-EXP(-LN(2)/25))/(LN(2)/25)*Calculateur!V67*Calculateur!X67*VLOOKUP('Données projet'!$B$9,Paramètres!$A$1:$I$89,3,0)*0.475*44/12</f>
        <v>7.1819045742370626</v>
      </c>
      <c r="AB67" s="21">
        <f>EXP(-LN(2)/2)*AB66+(1-EXP(-LN(2)/2))/(LN(2)/2)*V67*Y67*VLOOKUP('Données projet'!$B$9,Paramètres!$A$1:$I$89,3,0)*0.475*44/12</f>
        <v>1.84036878377288E-4</v>
      </c>
      <c r="AC67" s="22">
        <f t="shared" si="3"/>
        <v>8.9293303719986366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4.3</v>
      </c>
      <c r="AI67" s="13">
        <f>IF('Données projet'!$A$62&gt;35,AI66+AH67-AQ66,IF(A67&lt;'Données projet'!$A$62,$AF$205^A67,IF(A67='Données projet'!$A$62,'Données projet'!$B$62,AI66+AH67-AQ66)))</f>
        <v>197.19999999999973</v>
      </c>
      <c r="AJ67" s="13">
        <f>AI67*VLOOKUP('Données projet'!$B$10,Paramètres!$A$1:$I$89,3,0)*VLOOKUP('Données projet'!$B$10,Paramètres!$A$1:$I$89,5,0)</f>
        <v>172.27391999999978</v>
      </c>
      <c r="AK67" s="13">
        <f t="shared" si="35"/>
        <v>43.598911513699527</v>
      </c>
      <c r="AL67" s="20">
        <f t="shared" si="4"/>
        <v>375.97851488635962</v>
      </c>
      <c r="AM67" s="59">
        <f t="shared" si="5"/>
        <v>669.31184821969293</v>
      </c>
      <c r="AN67" s="59">
        <f ca="1">AVERAGE(OFFSET($AM$3,0,0,'Données projet'!$E$10+1,1))-AVERAGE(OFFSET($H$3,0,0,'Données projet'!$E$10+1,1))</f>
        <v>191.94797389630673</v>
      </c>
      <c r="AO67" s="59">
        <f t="shared" si="36"/>
        <v>273.52540822767878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5.4729108533061792</v>
      </c>
      <c r="AW67" s="21">
        <f>EXP(-LN(2)/2)*AW66+(1-EXP(-LN(2)/2))/(LN(2)/2)*AQ67*AT67*VLOOKUP('Données projet'!$B$10,Paramètres!$A$1:$I$89,3,0)*0.475*44/12</f>
        <v>1.7702532134757518E-4</v>
      </c>
      <c r="AX67" s="21">
        <f t="shared" si="6"/>
        <v>6.7861665352912635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2.8421709430404007E-14</v>
      </c>
      <c r="BE67" s="13">
        <f>BD67*VLOOKUP('Données projet'!$B$11,Paramètres!$A$1:$I$89,3,0)*VLOOKUP('Données projet'!$B$11,Paramètres!$A$1:$I$89,5,0)</f>
        <v>1.8178525351686402E-14</v>
      </c>
      <c r="BF67" s="13">
        <f t="shared" si="37"/>
        <v>3.3304129621647644E-13</v>
      </c>
      <c r="BG67" s="20">
        <f t="shared" si="7"/>
        <v>6.1170785589788349E-13</v>
      </c>
      <c r="BH67" s="59">
        <f t="shared" si="8"/>
        <v>293.33333333333394</v>
      </c>
      <c r="BI67" s="59">
        <f ca="1">AVERAGE(OFFSET($BH$3,0,0,'Données projet'!$E$11+1,1))-AVERAGE(OFFSET($H$3,0,0,'Données projet'!$E$11+1,1))</f>
        <v>64.256756080189803</v>
      </c>
      <c r="BJ67" s="59">
        <f t="shared" si="38"/>
        <v>209.76343043971747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17.660415504758468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5.6343721244372629E-6</v>
      </c>
      <c r="BS67" s="22">
        <f t="shared" si="9"/>
        <v>17.660421139130595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10.6</v>
      </c>
      <c r="N68" s="13">
        <f>IF('Données projet'!$A$36&gt;35,N67+M68-V67,IF(A68&lt;'Données projet'!$A$36,$K$205^A68,IF(A68='Données projet'!$A$36,'Données projet'!$B$36,N67+M68-V67)))</f>
        <v>432.00000000000011</v>
      </c>
      <c r="O68" s="13">
        <f>N68*VLOOKUP('Données projet'!$B$9,Paramètres!$A$1:$I$89,3,0)*VLOOKUP('Données projet'!$B$9,Paramètres!$A$1:$I$89,5,0)</f>
        <v>241.48800000000006</v>
      </c>
      <c r="P68" s="13">
        <f t="shared" si="33"/>
        <v>58.759565673424966</v>
      </c>
      <c r="Q68" s="20">
        <f t="shared" si="54"/>
        <v>522.93117688121526</v>
      </c>
      <c r="R68" s="59">
        <f t="shared" si="55"/>
        <v>816.26451021454864</v>
      </c>
      <c r="S68" s="59">
        <f ca="1">AVERAGE(OFFSET($R$3,0,0,'Données projet'!$E$9+1,1))-AVERAGE(OFFSET($H$3,0,0,'Données projet'!$E$9+1,1))</f>
        <v>235.10258076192054</v>
      </c>
      <c r="T68" s="59">
        <f t="shared" si="34"/>
        <v>233.47316052603765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1.7129794156645211</v>
      </c>
      <c r="AA68" s="21">
        <f>EXP(-LN(2)/25)*AA67+(1-EXP(-LN(2)/25))/(LN(2)/25)*Calculateur!V68*Calculateur!X68*VLOOKUP('Données projet'!$B$9,Paramètres!$A$1:$I$89,3,0)*0.475*44/12</f>
        <v>6.9855150159746033</v>
      </c>
      <c r="AB68" s="21">
        <f>EXP(-LN(2)/2)*AB67+(1-EXP(-LN(2)/2))/(LN(2)/2)*V68*Y68*VLOOKUP('Données projet'!$B$9,Paramètres!$A$1:$I$89,3,0)*0.475*44/12</f>
        <v>1.3013372468898425E-4</v>
      </c>
      <c r="AC68" s="22">
        <f t="shared" ref="AC68:AC131" si="57">SUM(Z68:AB68)</f>
        <v>8.6986245653638132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4.3</v>
      </c>
      <c r="AI68" s="13">
        <f>IF('Données projet'!$A$62&gt;35,AI67+AH68-AQ67,IF(A68&lt;'Données projet'!$A$62,$AF$205^A68,IF(A68='Données projet'!$A$62,'Données projet'!$B$62,AI67+AH68-AQ67)))</f>
        <v>201.49999999999974</v>
      </c>
      <c r="AJ68" s="13">
        <f>AI68*VLOOKUP('Données projet'!$B$10,Paramètres!$A$1:$I$89,3,0)*VLOOKUP('Données projet'!$B$10,Paramètres!$A$1:$I$89,5,0)</f>
        <v>176.03039999999979</v>
      </c>
      <c r="AK68" s="13">
        <f t="shared" si="35"/>
        <v>44.437880346232902</v>
      </c>
      <c r="AL68" s="20">
        <f t="shared" ref="AL68:AL131" si="58">(AJ68+AK68)*0.475*44/12</f>
        <v>383.98225493635528</v>
      </c>
      <c r="AM68" s="59">
        <f t="shared" ref="AM68:AM131" si="59">AL68+(AD68+AE68)*44/12</f>
        <v>677.31558826968853</v>
      </c>
      <c r="AN68" s="59">
        <f ca="1">AVERAGE(OFFSET($AM$3,0,0,'Données projet'!$E$10+1,1))-AVERAGE(OFFSET($H$3,0,0,'Données projet'!$E$10+1,1))</f>
        <v>191.94797389630673</v>
      </c>
      <c r="AO68" s="59">
        <f t="shared" si="36"/>
        <v>273.52540822767878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5.3232538182146483</v>
      </c>
      <c r="AW68" s="21">
        <f>EXP(-LN(2)/2)*AW67+(1-EXP(-LN(2)/2))/(LN(2)/2)*AQ68*AT68*VLOOKUP('Données projet'!$B$10,Paramètres!$A$1:$I$89,3,0)*0.475*44/12</f>
        <v>1.251758051665981E-4</v>
      </c>
      <c r="AX68" s="21">
        <f t="shared" ref="AX68:AX131" si="60">SUM(AU68:AW68)</f>
        <v>6.610708979125274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2.8421709430404007E-14</v>
      </c>
      <c r="BE68" s="13">
        <f>BD68*VLOOKUP('Données projet'!$B$11,Paramètres!$A$1:$I$89,3,0)*VLOOKUP('Données projet'!$B$11,Paramètres!$A$1:$I$89,5,0)</f>
        <v>1.8178525351686402E-14</v>
      </c>
      <c r="BF68" s="13">
        <f t="shared" si="37"/>
        <v>3.3304129621647644E-13</v>
      </c>
      <c r="BG68" s="20">
        <f t="shared" ref="BG68:BG131" si="61">(BE68+BF68)*0.475*44/12</f>
        <v>6.1170785589788349E-13</v>
      </c>
      <c r="BH68" s="59">
        <f t="shared" ref="BH68:BH131" si="62">BG68+(AY68+AZ68)*44/12</f>
        <v>293.33333333333394</v>
      </c>
      <c r="BI68" s="59">
        <f ca="1">AVERAGE(OFFSET($BH$3,0,0,'Données projet'!$E$11+1,1))-AVERAGE(OFFSET($H$3,0,0,'Données projet'!$E$11+1,1))</f>
        <v>64.256756080189803</v>
      </c>
      <c r="BJ68" s="59">
        <f t="shared" si="38"/>
        <v>209.76343043971747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17.314105528499987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3.9841027369180426E-6</v>
      </c>
      <c r="BS68" s="22">
        <f t="shared" ref="BS68:BS131" si="63">SUM(BP68:BR68)</f>
        <v>17.314109512602723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10.6</v>
      </c>
      <c r="N69" s="13">
        <f>IF('Données projet'!$A$36&gt;35,N68+M69-V68,IF(A69&lt;'Données projet'!$A$36,$K$205^A69,IF(A69='Données projet'!$A$36,'Données projet'!$B$36,N68+M69-V68)))</f>
        <v>442.60000000000014</v>
      </c>
      <c r="O69" s="13">
        <f>N69*VLOOKUP('Données projet'!$B$9,Paramètres!$A$1:$I$89,3,0)*VLOOKUP('Données projet'!$B$9,Paramètres!$A$1:$I$89,5,0)</f>
        <v>247.41340000000011</v>
      </c>
      <c r="P69" s="13">
        <f t="shared" ref="P69:P132" si="87">EXP(-1.0587+0.8836*LN(O69)+0.284)</f>
        <v>60.031724575605175</v>
      </c>
      <c r="Q69" s="20">
        <f t="shared" si="54"/>
        <v>535.46692530251255</v>
      </c>
      <c r="R69" s="59">
        <f t="shared" si="55"/>
        <v>828.80025863584592</v>
      </c>
      <c r="S69" s="59">
        <f ca="1">AVERAGE(OFFSET($R$3,0,0,'Données projet'!$E$9+1,1))-AVERAGE(OFFSET($H$3,0,0,'Données projet'!$E$9+1,1))</f>
        <v>235.10258076192054</v>
      </c>
      <c r="T69" s="59">
        <f t="shared" ref="T69:T132" si="88">$T$3</f>
        <v>233.47316052603765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1.6793889341376165</v>
      </c>
      <c r="AA69" s="21">
        <f>EXP(-LN(2)/25)*AA68+(1-EXP(-LN(2)/25))/(LN(2)/25)*Calculateur!V69*Calculateur!X69*VLOOKUP('Données projet'!$B$9,Paramètres!$A$1:$I$89,3,0)*0.475*44/12</f>
        <v>6.7944957405105084</v>
      </c>
      <c r="AB69" s="21">
        <f>EXP(-LN(2)/2)*AB68+(1-EXP(-LN(2)/2))/(LN(2)/2)*V69*Y69*VLOOKUP('Données projet'!$B$9,Paramètres!$A$1:$I$89,3,0)*0.475*44/12</f>
        <v>9.2018439188644002E-5</v>
      </c>
      <c r="AC69" s="22">
        <f t="shared" si="57"/>
        <v>8.4739766930873142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4.3</v>
      </c>
      <c r="AI69" s="13">
        <f>IF('Données projet'!$A$62&gt;35,AI68+AH69-AQ68,IF(A69&lt;'Données projet'!$A$62,$AF$205^A69,IF(A69='Données projet'!$A$62,'Données projet'!$B$62,AI68+AH69-AQ68)))</f>
        <v>205.79999999999976</v>
      </c>
      <c r="AJ69" s="13">
        <f>AI69*VLOOKUP('Données projet'!$B$10,Paramètres!$A$1:$I$89,3,0)*VLOOKUP('Données projet'!$B$10,Paramètres!$A$1:$I$89,5,0)</f>
        <v>179.78687999999983</v>
      </c>
      <c r="AK69" s="13">
        <f t="shared" ref="AK69:AK132" si="89">EXP(-1.0587+0.8836*LN(AJ69)+0.284)</f>
        <v>45.274767624296899</v>
      </c>
      <c r="AL69" s="20">
        <f t="shared" si="58"/>
        <v>391.98236961231675</v>
      </c>
      <c r="AM69" s="59">
        <f t="shared" si="59"/>
        <v>685.31570294565006</v>
      </c>
      <c r="AN69" s="59">
        <f ca="1">AVERAGE(OFFSET($AM$3,0,0,'Données projet'!$E$10+1,1))-AVERAGE(OFFSET($H$3,0,0,'Données projet'!$E$10+1,1))</f>
        <v>191.94797389630673</v>
      </c>
      <c r="AO69" s="59">
        <f t="shared" ref="AO69:AO132" si="90">$AO$3</f>
        <v>273.52540822767878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5.177689162617817</v>
      </c>
      <c r="AW69" s="21">
        <f>EXP(-LN(2)/2)*AW68+(1-EXP(-LN(2)/2))/(LN(2)/2)*AQ69*AT69*VLOOKUP('Données projet'!$B$10,Paramètres!$A$1:$I$89,3,0)*0.475*44/12</f>
        <v>8.8512660673787592E-5</v>
      </c>
      <c r="AX69" s="21">
        <f t="shared" si="60"/>
        <v>6.4398639045697914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2.8421709430404007E-14</v>
      </c>
      <c r="BE69" s="13">
        <f>BD69*VLOOKUP('Données projet'!$B$11,Paramètres!$A$1:$I$89,3,0)*VLOOKUP('Données projet'!$B$11,Paramètres!$A$1:$I$89,5,0)</f>
        <v>1.8178525351686402E-14</v>
      </c>
      <c r="BF69" s="13">
        <f t="shared" ref="BF69:BF132" si="91">EXP(-1.0587+0.8836*LN(BE69)+0.284)</f>
        <v>3.3304129621647644E-13</v>
      </c>
      <c r="BG69" s="20">
        <f t="shared" si="61"/>
        <v>6.1170785589788349E-13</v>
      </c>
      <c r="BH69" s="59">
        <f t="shared" si="62"/>
        <v>293.33333333333394</v>
      </c>
      <c r="BI69" s="59">
        <f ca="1">AVERAGE(OFFSET($BH$3,0,0,'Données projet'!$E$11+1,1))-AVERAGE(OFFSET($H$3,0,0,'Données projet'!$E$11+1,1))</f>
        <v>64.256756080189803</v>
      </c>
      <c r="BJ69" s="59">
        <f t="shared" ref="BJ69:BJ132" si="92">$BJ$3</f>
        <v>209.76343043971747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16.974586479647705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2.8171860622186314E-6</v>
      </c>
      <c r="BS69" s="22">
        <f t="shared" si="63"/>
        <v>16.974589296833766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10.6</v>
      </c>
      <c r="N70" s="13">
        <f>IF('Données projet'!$A$36&gt;35,N69+M70-V69,IF(A70&lt;'Données projet'!$A$36,$K$205^A70,IF(A70='Données projet'!$A$36,'Données projet'!$B$36,N69+M70-V69)))</f>
        <v>453.20000000000016</v>
      </c>
      <c r="O70" s="13">
        <f>N70*VLOOKUP('Données projet'!$B$9,Paramètres!$A$1:$I$89,3,0)*VLOOKUP('Données projet'!$B$9,Paramètres!$A$1:$I$89,5,0)</f>
        <v>253.33880000000008</v>
      </c>
      <c r="P70" s="13">
        <f t="shared" si="87"/>
        <v>61.300341649722711</v>
      </c>
      <c r="Q70" s="20">
        <f t="shared" si="54"/>
        <v>547.99650503993382</v>
      </c>
      <c r="R70" s="59">
        <f t="shared" si="55"/>
        <v>841.32983837326719</v>
      </c>
      <c r="S70" s="59">
        <f ca="1">AVERAGE(OFFSET($R$3,0,0,'Données projet'!$E$9+1,1))-AVERAGE(OFFSET($H$3,0,0,'Données projet'!$E$9+1,1))</f>
        <v>235.10258076192054</v>
      </c>
      <c r="T70" s="59">
        <f t="shared" si="88"/>
        <v>233.47316052603765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1.6464571414652838</v>
      </c>
      <c r="AA70" s="21">
        <f>EXP(-LN(2)/25)*AA69+(1-EXP(-LN(2)/25))/(LN(2)/25)*Calculateur!V70*Calculateur!X70*VLOOKUP('Données projet'!$B$9,Paramètres!$A$1:$I$89,3,0)*0.475*44/12</f>
        <v>6.608699897179247</v>
      </c>
      <c r="AB70" s="21">
        <f>EXP(-LN(2)/2)*AB69+(1-EXP(-LN(2)/2))/(LN(2)/2)*V70*Y70*VLOOKUP('Données projet'!$B$9,Paramètres!$A$1:$I$89,3,0)*0.475*44/12</f>
        <v>6.5066862344492123E-5</v>
      </c>
      <c r="AC70" s="22">
        <f t="shared" si="57"/>
        <v>8.2552221055068742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4.3</v>
      </c>
      <c r="AI70" s="13">
        <f>IF('Données projet'!$A$62&gt;35,AI69+AH70-AQ69,IF(A70&lt;'Données projet'!$A$62,$AF$205^A70,IF(A70='Données projet'!$A$62,'Données projet'!$B$62,AI69+AH70-AQ69)))</f>
        <v>210.09999999999977</v>
      </c>
      <c r="AJ70" s="13">
        <f>AI70*VLOOKUP('Données projet'!$B$10,Paramètres!$A$1:$I$89,3,0)*VLOOKUP('Données projet'!$B$10,Paramètres!$A$1:$I$89,5,0)</f>
        <v>183.54335999999981</v>
      </c>
      <c r="AK70" s="13">
        <f t="shared" si="89"/>
        <v>46.109621850655671</v>
      </c>
      <c r="AL70" s="20">
        <f t="shared" si="58"/>
        <v>399.97894338989158</v>
      </c>
      <c r="AM70" s="59">
        <f t="shared" si="59"/>
        <v>693.31227672322484</v>
      </c>
      <c r="AN70" s="59">
        <f ca="1">AVERAGE(OFFSET($AM$3,0,0,'Données projet'!$E$10+1,1))-AVERAGE(OFFSET($H$3,0,0,'Données projet'!$E$10+1,1))</f>
        <v>191.94797389630673</v>
      </c>
      <c r="AO70" s="59">
        <f t="shared" si="90"/>
        <v>273.52540822767878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5.0361049801831932</v>
      </c>
      <c r="AW70" s="21">
        <f>EXP(-LN(2)/2)*AW69+(1-EXP(-LN(2)/2))/(LN(2)/2)*AQ70*AT70*VLOOKUP('Données projet'!$B$10,Paramètres!$A$1:$I$89,3,0)*0.475*44/12</f>
        <v>6.2587902583299051E-5</v>
      </c>
      <c r="AX70" s="21">
        <f t="shared" si="60"/>
        <v>6.2735050562172638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2.8421709430404007E-14</v>
      </c>
      <c r="BE70" s="13">
        <f>BD70*VLOOKUP('Données projet'!$B$11,Paramètres!$A$1:$I$89,3,0)*VLOOKUP('Données projet'!$B$11,Paramètres!$A$1:$I$89,5,0)</f>
        <v>1.8178525351686402E-14</v>
      </c>
      <c r="BF70" s="13">
        <f t="shared" si="91"/>
        <v>3.3304129621647644E-13</v>
      </c>
      <c r="BG70" s="20">
        <f t="shared" si="61"/>
        <v>6.1170785589788349E-13</v>
      </c>
      <c r="BH70" s="59">
        <f t="shared" si="62"/>
        <v>293.33333333333394</v>
      </c>
      <c r="BI70" s="59">
        <f ca="1">AVERAGE(OFFSET($BH$3,0,0,'Données projet'!$E$11+1,1))-AVERAGE(OFFSET($H$3,0,0,'Données projet'!$E$11+1,1))</f>
        <v>64.256756080189803</v>
      </c>
      <c r="BJ70" s="59">
        <f t="shared" si="92"/>
        <v>209.76343043971747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16.641725192257244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1.9920513684590213E-6</v>
      </c>
      <c r="BS70" s="22">
        <f t="shared" si="63"/>
        <v>16.641727184308614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10.6</v>
      </c>
      <c r="N71" s="13">
        <f>IF('Données projet'!$A$36&gt;35,N70+M71-V70,IF(A71&lt;'Données projet'!$A$36,$K$205^A71,IF(A71='Données projet'!$A$36,'Données projet'!$B$36,N70+M71-V70)))</f>
        <v>463.80000000000018</v>
      </c>
      <c r="O71" s="13">
        <f>N71*VLOOKUP('Données projet'!$B$9,Paramètres!$A$1:$I$89,3,0)*VLOOKUP('Données projet'!$B$9,Paramètres!$A$1:$I$89,5,0)</f>
        <v>259.26420000000013</v>
      </c>
      <c r="P71" s="13">
        <f t="shared" si="87"/>
        <v>62.565509270313164</v>
      </c>
      <c r="Q71" s="20">
        <f t="shared" si="54"/>
        <v>560.52007697912893</v>
      </c>
      <c r="R71" s="59">
        <f t="shared" si="55"/>
        <v>853.8534103124623</v>
      </c>
      <c r="S71" s="59">
        <f ca="1">AVERAGE(OFFSET($R$3,0,0,'Données projet'!$E$9+1,1))-AVERAGE(OFFSET($H$3,0,0,'Données projet'!$E$9+1,1))</f>
        <v>235.10258076192054</v>
      </c>
      <c r="T71" s="59">
        <f t="shared" si="88"/>
        <v>233.47316052603765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1.6141711211608454</v>
      </c>
      <c r="AA71" s="21">
        <f>EXP(-LN(2)/25)*AA70+(1-EXP(-LN(2)/25))/(LN(2)/25)*Calculateur!V71*Calculateur!X71*VLOOKUP('Données projet'!$B$9,Paramètres!$A$1:$I$89,3,0)*0.475*44/12</f>
        <v>6.4279846509544569</v>
      </c>
      <c r="AB71" s="21">
        <f>EXP(-LN(2)/2)*AB70+(1-EXP(-LN(2)/2))/(LN(2)/2)*V71*Y71*VLOOKUP('Données projet'!$B$9,Paramètres!$A$1:$I$89,3,0)*0.475*44/12</f>
        <v>4.6009219594322001E-5</v>
      </c>
      <c r="AC71" s="22">
        <f t="shared" si="57"/>
        <v>8.0422017813348976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4.3</v>
      </c>
      <c r="AI71" s="13">
        <f>IF('Données projet'!$A$62&gt;35,AI70+AH71-AQ70,IF(A71&lt;'Données projet'!$A$62,$AF$205^A71,IF(A71='Données projet'!$A$62,'Données projet'!$B$62,AI70+AH71-AQ70)))</f>
        <v>214.39999999999978</v>
      </c>
      <c r="AJ71" s="13">
        <f>AI71*VLOOKUP('Données projet'!$B$10,Paramètres!$A$1:$I$89,3,0)*VLOOKUP('Données projet'!$B$10,Paramètres!$A$1:$I$89,5,0)</f>
        <v>187.29983999999985</v>
      </c>
      <c r="AK71" s="13">
        <f t="shared" si="89"/>
        <v>46.942489429228111</v>
      </c>
      <c r="AL71" s="20">
        <f t="shared" si="58"/>
        <v>407.97205708923872</v>
      </c>
      <c r="AM71" s="59">
        <f t="shared" si="59"/>
        <v>701.30539042257203</v>
      </c>
      <c r="AN71" s="59">
        <f ca="1">AVERAGE(OFFSET($AM$3,0,0,'Données projet'!$E$10+1,1))-AVERAGE(OFFSET($H$3,0,0,'Données projet'!$E$10+1,1))</f>
        <v>191.94797389630673</v>
      </c>
      <c r="AO71" s="59">
        <f t="shared" si="90"/>
        <v>273.52540822767878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4.8983924246628332</v>
      </c>
      <c r="AW71" s="21">
        <f>EXP(-LN(2)/2)*AW70+(1-EXP(-LN(2)/2))/(LN(2)/2)*AQ71*AT71*VLOOKUP('Données projet'!$B$10,Paramètres!$A$1:$I$89,3,0)*0.475*44/12</f>
        <v>4.4256330336893796E-5</v>
      </c>
      <c r="AX71" s="21">
        <f t="shared" si="60"/>
        <v>6.1115107356837459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2.8421709430404007E-14</v>
      </c>
      <c r="BE71" s="13">
        <f>BD71*VLOOKUP('Données projet'!$B$11,Paramètres!$A$1:$I$89,3,0)*VLOOKUP('Données projet'!$B$11,Paramètres!$A$1:$I$89,5,0)</f>
        <v>1.8178525351686402E-14</v>
      </c>
      <c r="BF71" s="13">
        <f t="shared" si="91"/>
        <v>3.3304129621647644E-13</v>
      </c>
      <c r="BG71" s="20">
        <f t="shared" si="61"/>
        <v>6.1170785589788349E-13</v>
      </c>
      <c r="BH71" s="59">
        <f t="shared" si="62"/>
        <v>293.33333333333394</v>
      </c>
      <c r="BI71" s="59">
        <f ca="1">AVERAGE(OFFSET($BH$3,0,0,'Données projet'!$E$11+1,1))-AVERAGE(OFFSET($H$3,0,0,'Données projet'!$E$11+1,1))</f>
        <v>64.256756080189803</v>
      </c>
      <c r="BJ71" s="59">
        <f t="shared" si="92"/>
        <v>209.76343043971747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16.315391111687173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1.4085930311093157E-6</v>
      </c>
      <c r="BS71" s="22">
        <f t="shared" si="63"/>
        <v>16.315392520280206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10.6</v>
      </c>
      <c r="N72" s="13">
        <f>IF('Données projet'!$A$36&gt;35,N71+M72-V71,IF(A72&lt;'Données projet'!$A$36,$K$205^A72,IF(A72='Données projet'!$A$36,'Données projet'!$B$36,N71+M72-V71)))</f>
        <v>474.4000000000002</v>
      </c>
      <c r="O72" s="13">
        <f>N72*VLOOKUP('Données projet'!$B$9,Paramètres!$A$1:$I$89,3,0)*VLOOKUP('Données projet'!$B$9,Paramètres!$A$1:$I$89,5,0)</f>
        <v>265.1896000000001</v>
      </c>
      <c r="P72" s="13">
        <f t="shared" si="87"/>
        <v>63.827315348557988</v>
      </c>
      <c r="Q72" s="20">
        <f t="shared" si="54"/>
        <v>573.03779423207209</v>
      </c>
      <c r="R72" s="59">
        <f t="shared" si="55"/>
        <v>866.37112756540546</v>
      </c>
      <c r="S72" s="59">
        <f ca="1">AVERAGE(OFFSET($R$3,0,0,'Données projet'!$E$9+1,1))-AVERAGE(OFFSET($H$3,0,0,'Données projet'!$E$9+1,1))</f>
        <v>235.10258076192054</v>
      </c>
      <c r="T72" s="59">
        <f t="shared" si="88"/>
        <v>233.47316052603765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1.5825182100220492</v>
      </c>
      <c r="AA72" s="21">
        <f>EXP(-LN(2)/25)*AA71+(1-EXP(-LN(2)/25))/(LN(2)/25)*Calculateur!V72*Calculateur!X72*VLOOKUP('Données projet'!$B$9,Paramètres!$A$1:$I$89,3,0)*0.475*44/12</f>
        <v>6.252211072641086</v>
      </c>
      <c r="AB72" s="21">
        <f>EXP(-LN(2)/2)*AB71+(1-EXP(-LN(2)/2))/(LN(2)/2)*V72*Y72*VLOOKUP('Données projet'!$B$9,Paramètres!$A$1:$I$89,3,0)*0.475*44/12</f>
        <v>3.2533431172246061E-5</v>
      </c>
      <c r="AC72" s="22">
        <f t="shared" si="57"/>
        <v>7.8347618160943071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4.3</v>
      </c>
      <c r="AI72" s="13">
        <f>IF('Données projet'!$A$62&gt;35,AI71+AH72-AQ71,IF(A72&lt;'Données projet'!$A$62,$AF$205^A72,IF(A72='Données projet'!$A$62,'Données projet'!$B$62,AI71+AH72-AQ71)))</f>
        <v>218.69999999999979</v>
      </c>
      <c r="AJ72" s="13">
        <f>AI72*VLOOKUP('Données projet'!$B$10,Paramètres!$A$1:$I$89,3,0)*VLOOKUP('Données projet'!$B$10,Paramètres!$A$1:$I$89,5,0)</f>
        <v>191.05631999999983</v>
      </c>
      <c r="AK72" s="13">
        <f t="shared" si="89"/>
        <v>47.773414796152679</v>
      </c>
      <c r="AL72" s="20">
        <f t="shared" si="58"/>
        <v>415.96178810329894</v>
      </c>
      <c r="AM72" s="59">
        <f t="shared" si="59"/>
        <v>709.29512143663226</v>
      </c>
      <c r="AN72" s="59">
        <f ca="1">AVERAGE(OFFSET($AM$3,0,0,'Données projet'!$E$10+1,1))-AVERAGE(OFFSET($H$3,0,0,'Données projet'!$E$10+1,1))</f>
        <v>191.94797389630673</v>
      </c>
      <c r="AO72" s="59">
        <f t="shared" si="90"/>
        <v>273.52540822767878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4.7644456262151662</v>
      </c>
      <c r="AW72" s="21">
        <f>EXP(-LN(2)/2)*AW71+(1-EXP(-LN(2)/2))/(LN(2)/2)*AQ72*AT72*VLOOKUP('Données projet'!$B$10,Paramètres!$A$1:$I$89,3,0)*0.475*44/12</f>
        <v>3.1293951291649525E-5</v>
      </c>
      <c r="AX72" s="21">
        <f t="shared" si="60"/>
        <v>5.9537633325466652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2.8421709430404007E-14</v>
      </c>
      <c r="BE72" s="13">
        <f>BD72*VLOOKUP('Données projet'!$B$11,Paramètres!$A$1:$I$89,3,0)*VLOOKUP('Données projet'!$B$11,Paramètres!$A$1:$I$89,5,0)</f>
        <v>1.8178525351686402E-14</v>
      </c>
      <c r="BF72" s="13">
        <f t="shared" si="91"/>
        <v>3.3304129621647644E-13</v>
      </c>
      <c r="BG72" s="20">
        <f t="shared" si="61"/>
        <v>6.1170785589788349E-13</v>
      </c>
      <c r="BH72" s="59">
        <f t="shared" si="62"/>
        <v>293.33333333333394</v>
      </c>
      <c r="BI72" s="59">
        <f ca="1">AVERAGE(OFFSET($BH$3,0,0,'Données projet'!$E$11+1,1))-AVERAGE(OFFSET($H$3,0,0,'Données projet'!$E$11+1,1))</f>
        <v>64.256756080189803</v>
      </c>
      <c r="BJ72" s="59">
        <f t="shared" si="92"/>
        <v>209.76343043971747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15.995456243392946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9.9602568422951064E-7</v>
      </c>
      <c r="BS72" s="22">
        <f t="shared" si="63"/>
        <v>15.995457239418631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485</v>
      </c>
      <c r="L73" s="12">
        <f>VLOOKUP(A73,'Données projet'!$A$35:$I$55,9,0)</f>
        <v>10.6</v>
      </c>
      <c r="M73" s="12">
        <f t="array" ref="M73">INDEX(L:L,MIN(IF(ISNUMBER(L73:L269),ROW(L73:L269),"")))</f>
        <v>10.6</v>
      </c>
      <c r="N73" s="13">
        <f>IF('Données projet'!$A$36&gt;35,N72+M73-V72,IF(A73&lt;'Données projet'!$A$36,$K$205^A73,IF(A73='Données projet'!$A$36,'Données projet'!$B$36,N72+M73-V72)))</f>
        <v>485.00000000000023</v>
      </c>
      <c r="O73" s="13">
        <f>N73*VLOOKUP('Données projet'!$B$9,Paramètres!$A$1:$I$89,3,0)*VLOOKUP('Données projet'!$B$9,Paramètres!$A$1:$I$89,5,0)</f>
        <v>271.11500000000012</v>
      </c>
      <c r="P73" s="13">
        <f t="shared" si="87"/>
        <v>65.085843642780702</v>
      </c>
      <c r="Q73" s="20">
        <f t="shared" si="54"/>
        <v>585.54980267784322</v>
      </c>
      <c r="R73" s="59">
        <f t="shared" si="55"/>
        <v>878.88313601117648</v>
      </c>
      <c r="S73" s="59">
        <f ca="1">AVERAGE(OFFSET($R$3,0,0,'Données projet'!$E$9+1,1))-AVERAGE(OFFSET($H$3,0,0,'Données projet'!$E$9+1,1))</f>
        <v>235.10258076192054</v>
      </c>
      <c r="T73" s="59">
        <f t="shared" si="88"/>
        <v>233.47316052603765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1.5514859931643152</v>
      </c>
      <c r="AA73" s="21">
        <f>EXP(-LN(2)/25)*AA72+(1-EXP(-LN(2)/25))/(LN(2)/25)*Calculateur!V73*Calculateur!X73*VLOOKUP('Données projet'!$B$9,Paramètres!$A$1:$I$89,3,0)*0.475*44/12</f>
        <v>6.0812440320702246</v>
      </c>
      <c r="AB73" s="21">
        <f>EXP(-LN(2)/2)*AB72+(1-EXP(-LN(2)/2))/(LN(2)/2)*V73*Y73*VLOOKUP('Données projet'!$B$9,Paramètres!$A$1:$I$89,3,0)*0.475*44/12</f>
        <v>2.3004609797161E-5</v>
      </c>
      <c r="AC73" s="22">
        <f t="shared" si="57"/>
        <v>7.6327530298443378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4.3</v>
      </c>
      <c r="AH73" s="12">
        <f t="array" ref="AH73">INDEX(AG:AG,MIN(IF(ISNUMBER(AG73:AG269),ROW(AG73:AG269),"")))</f>
        <v>4.3</v>
      </c>
      <c r="AI73" s="13">
        <f>IF('Données projet'!$A$62&gt;35,AI72+AH73-AQ72,IF(A73&lt;'Données projet'!$A$62,$AF$205^A73,IF(A73='Données projet'!$A$62,'Données projet'!$B$62,AI72+AH73-AQ72)))</f>
        <v>222.9999999999998</v>
      </c>
      <c r="AJ73" s="13">
        <f>AI73*VLOOKUP('Données projet'!$B$10,Paramètres!$A$1:$I$89,3,0)*VLOOKUP('Données projet'!$B$10,Paramètres!$A$1:$I$89,5,0)</f>
        <v>194.81279999999984</v>
      </c>
      <c r="AK73" s="13">
        <f t="shared" si="89"/>
        <v>48.602440540253809</v>
      </c>
      <c r="AL73" s="20">
        <f t="shared" si="58"/>
        <v>423.94821060760842</v>
      </c>
      <c r="AM73" s="59">
        <f t="shared" si="59"/>
        <v>717.28154394094167</v>
      </c>
      <c r="AN73" s="59">
        <f ca="1">AVERAGE(OFFSET($AM$3,0,0,'Données projet'!$E$10+1,1))-AVERAGE(OFFSET($H$3,0,0,'Données projet'!$E$10+1,1))</f>
        <v>191.94797389630673</v>
      </c>
      <c r="AO73" s="59">
        <f t="shared" si="90"/>
        <v>273.52540822767878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4.6341616100150063</v>
      </c>
      <c r="AW73" s="21">
        <f>EXP(-LN(2)/2)*AW72+(1-EXP(-LN(2)/2))/(LN(2)/2)*AQ73*AT73*VLOOKUP('Données projet'!$B$10,Paramètres!$A$1:$I$89,3,0)*0.475*44/12</f>
        <v>2.2128165168446898E-5</v>
      </c>
      <c r="AX73" s="21">
        <f t="shared" si="60"/>
        <v>5.8001489694066919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2.8421709430404007E-14</v>
      </c>
      <c r="BE73" s="13">
        <f>BD73*VLOOKUP('Données projet'!$B$11,Paramètres!$A$1:$I$89,3,0)*VLOOKUP('Données projet'!$B$11,Paramètres!$A$1:$I$89,5,0)</f>
        <v>1.8178525351686402E-14</v>
      </c>
      <c r="BF73" s="13">
        <f t="shared" si="91"/>
        <v>3.3304129621647644E-13</v>
      </c>
      <c r="BG73" s="20">
        <f t="shared" si="61"/>
        <v>6.1170785589788349E-13</v>
      </c>
      <c r="BH73" s="59">
        <f t="shared" si="62"/>
        <v>293.33333333333394</v>
      </c>
      <c r="BI73" s="59">
        <f ca="1">AVERAGE(OFFSET($BH$3,0,0,'Données projet'!$E$11+1,1))-AVERAGE(OFFSET($H$3,0,0,'Données projet'!$E$11+1,1))</f>
        <v>64.256756080189803</v>
      </c>
      <c r="BJ73" s="59">
        <f t="shared" si="92"/>
        <v>209.76343043971747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15.681795102724967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7.0429651555465786E-7</v>
      </c>
      <c r="BS73" s="22">
        <f t="shared" si="63"/>
        <v>15.681795807021484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8.3000000000000007</v>
      </c>
      <c r="N74" s="13">
        <f>IF('Données projet'!$A$36&gt;35,N73+M74-V73,IF(A74&lt;'Données projet'!$A$36,$K$205^A74,IF(A74='Données projet'!$A$36,'Données projet'!$B$36,N73+M74-V73)))</f>
        <v>439.30000000000024</v>
      </c>
      <c r="O74" s="13">
        <f>N74*VLOOKUP('Données projet'!$B$9,Paramètres!$A$1:$I$89,3,0)*VLOOKUP('Données projet'!$B$9,Paramètres!$A$1:$I$89,5,0)</f>
        <v>245.56870000000012</v>
      </c>
      <c r="P74" s="13">
        <f t="shared" si="87"/>
        <v>59.636059245564958</v>
      </c>
      <c r="Q74" s="20">
        <f t="shared" si="54"/>
        <v>531.56495568602577</v>
      </c>
      <c r="R74" s="59">
        <f t="shared" si="55"/>
        <v>824.89828901935903</v>
      </c>
      <c r="S74" s="59">
        <f ca="1">AVERAGE(OFFSET($R$3,0,0,'Données projet'!$E$9+1,1))-AVERAGE(OFFSET($H$3,0,0,'Données projet'!$E$9+1,1))</f>
        <v>235.10258076192054</v>
      </c>
      <c r="T74" s="59">
        <f t="shared" si="88"/>
        <v>233.47316052603765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1.5210622991513782</v>
      </c>
      <c r="AA74" s="21">
        <f>EXP(-LN(2)/25)*AA73+(1-EXP(-LN(2)/25))/(LN(2)/25)*Calculateur!V74*Calculateur!X74*VLOOKUP('Données projet'!$B$9,Paramètres!$A$1:$I$89,3,0)*0.475*44/12</f>
        <v>5.9149520942145397</v>
      </c>
      <c r="AB74" s="21">
        <f>EXP(-LN(2)/2)*AB73+(1-EXP(-LN(2)/2))/(LN(2)/2)*V74*Y74*VLOOKUP('Données projet'!$B$9,Paramètres!$A$1:$I$89,3,0)*0.475*44/12</f>
        <v>1.6266715586123031E-5</v>
      </c>
      <c r="AC74" s="22">
        <f t="shared" si="57"/>
        <v>7.4360306600815038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3.3</v>
      </c>
      <c r="AI74" s="13">
        <f>IF('Données projet'!$A$62&gt;35,AI73+AH74-AQ73,IF(A74&lt;'Données projet'!$A$62,$AF$205^A74,IF(A74='Données projet'!$A$62,'Données projet'!$B$62,AI73+AH74-AQ73)))</f>
        <v>194.29999999999981</v>
      </c>
      <c r="AJ74" s="13">
        <f>AI74*VLOOKUP('Données projet'!$B$10,Paramètres!$A$1:$I$89,3,0)*VLOOKUP('Données projet'!$B$10,Paramètres!$A$1:$I$89,5,0)</f>
        <v>169.74047999999985</v>
      </c>
      <c r="AK74" s="13">
        <f t="shared" si="89"/>
        <v>43.03189457132202</v>
      </c>
      <c r="AL74" s="20">
        <f t="shared" si="58"/>
        <v>370.57855237838561</v>
      </c>
      <c r="AM74" s="59">
        <f t="shared" si="59"/>
        <v>663.91188571171892</v>
      </c>
      <c r="AN74" s="59">
        <f ca="1">AVERAGE(OFFSET($AM$3,0,0,'Données projet'!$E$10+1,1))-AVERAGE(OFFSET($H$3,0,0,'Données projet'!$E$10+1,1))</f>
        <v>191.94797389630673</v>
      </c>
      <c r="AO74" s="59">
        <f t="shared" si="90"/>
        <v>273.52540822767878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4.5074402170891785</v>
      </c>
      <c r="AW74" s="21">
        <f>EXP(-LN(2)/2)*AW73+(1-EXP(-LN(2)/2))/(LN(2)/2)*AQ74*AT74*VLOOKUP('Données projet'!$B$10,Paramètres!$A$1:$I$89,3,0)*0.475*44/12</f>
        <v>1.5646975645824763E-5</v>
      </c>
      <c r="AX74" s="21">
        <f t="shared" si="60"/>
        <v>5.6505572282755576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2.8421709430404007E-14</v>
      </c>
      <c r="BE74" s="13">
        <f>BD74*VLOOKUP('Données projet'!$B$11,Paramètres!$A$1:$I$89,3,0)*VLOOKUP('Données projet'!$B$11,Paramètres!$A$1:$I$89,5,0)</f>
        <v>1.8178525351686402E-14</v>
      </c>
      <c r="BF74" s="13">
        <f t="shared" si="91"/>
        <v>3.3304129621647644E-13</v>
      </c>
      <c r="BG74" s="20">
        <f t="shared" si="61"/>
        <v>6.1170785589788349E-13</v>
      </c>
      <c r="BH74" s="59">
        <f t="shared" si="62"/>
        <v>293.33333333333394</v>
      </c>
      <c r="BI74" s="59">
        <f ca="1">AVERAGE(OFFSET($BH$3,0,0,'Données projet'!$E$11+1,1))-AVERAGE(OFFSET($H$3,0,0,'Données projet'!$E$11+1,1))</f>
        <v>64.256756080189803</v>
      </c>
      <c r="BJ74" s="59">
        <f t="shared" si="92"/>
        <v>209.76343043971747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15.374284665711082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4.9801284211475532E-7</v>
      </c>
      <c r="BS74" s="22">
        <f t="shared" si="63"/>
        <v>15.374285163723924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8.3000000000000007</v>
      </c>
      <c r="N75" s="13">
        <f>IF('Données projet'!$A$36&gt;35,N74+M75-V74,IF(A75&lt;'Données projet'!$A$36,$K$205^A75,IF(A75='Données projet'!$A$36,'Données projet'!$B$36,N74+M75-V74)))</f>
        <v>447.60000000000025</v>
      </c>
      <c r="O75" s="13">
        <f>N75*VLOOKUP('Données projet'!$B$9,Paramètres!$A$1:$I$89,3,0)*VLOOKUP('Données projet'!$B$9,Paramètres!$A$1:$I$89,5,0)</f>
        <v>250.20840000000015</v>
      </c>
      <c r="P75" s="13">
        <f t="shared" si="87"/>
        <v>60.630564411420188</v>
      </c>
      <c r="Q75" s="20">
        <f t="shared" si="54"/>
        <v>541.37786301655706</v>
      </c>
      <c r="R75" s="59">
        <f t="shared" si="55"/>
        <v>834.71119634989032</v>
      </c>
      <c r="S75" s="59">
        <f ca="1">AVERAGE(OFFSET($R$3,0,0,'Données projet'!$E$9+1,1))-AVERAGE(OFFSET($H$3,0,0,'Données projet'!$E$9+1,1))</f>
        <v>235.10258076192054</v>
      </c>
      <c r="T75" s="59">
        <f t="shared" si="88"/>
        <v>233.47316052603765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1.4912351952214138</v>
      </c>
      <c r="AA75" s="21">
        <f>EXP(-LN(2)/25)*AA74+(1-EXP(-LN(2)/25))/(LN(2)/25)*Calculateur!V75*Calculateur!X75*VLOOKUP('Données projet'!$B$9,Paramètres!$A$1:$I$89,3,0)*0.475*44/12</f>
        <v>5.7532074181444317</v>
      </c>
      <c r="AB75" s="21">
        <f>EXP(-LN(2)/2)*AB74+(1-EXP(-LN(2)/2))/(LN(2)/2)*V75*Y75*VLOOKUP('Données projet'!$B$9,Paramètres!$A$1:$I$89,3,0)*0.475*44/12</f>
        <v>1.15023048985805E-5</v>
      </c>
      <c r="AC75" s="22">
        <f t="shared" si="57"/>
        <v>7.2444541156707443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3.3</v>
      </c>
      <c r="AI75" s="13">
        <f>IF('Données projet'!$A$62&gt;35,AI74+AH75-AQ74,IF(A75&lt;'Données projet'!$A$62,$AF$205^A75,IF(A75='Données projet'!$A$62,'Données projet'!$B$62,AI74+AH75-AQ74)))</f>
        <v>197.59999999999982</v>
      </c>
      <c r="AJ75" s="13">
        <f>AI75*VLOOKUP('Données projet'!$B$10,Paramètres!$A$1:$I$89,3,0)*VLOOKUP('Données projet'!$B$10,Paramètres!$A$1:$I$89,5,0)</f>
        <v>172.62335999999985</v>
      </c>
      <c r="AK75" s="13">
        <f t="shared" si="89"/>
        <v>43.677044279986035</v>
      </c>
      <c r="AL75" s="20">
        <f t="shared" si="58"/>
        <v>376.72320412097542</v>
      </c>
      <c r="AM75" s="59">
        <f t="shared" si="59"/>
        <v>670.05653745430868</v>
      </c>
      <c r="AN75" s="59">
        <f ca="1">AVERAGE(OFFSET($AM$3,0,0,'Données projet'!$E$10+1,1))-AVERAGE(OFFSET($H$3,0,0,'Données projet'!$E$10+1,1))</f>
        <v>191.94797389630673</v>
      </c>
      <c r="AO75" s="59">
        <f t="shared" si="90"/>
        <v>273.52540822767878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4.3841840273168957</v>
      </c>
      <c r="AW75" s="21">
        <f>EXP(-LN(2)/2)*AW74+(1-EXP(-LN(2)/2))/(LN(2)/2)*AQ75*AT75*VLOOKUP('Données projet'!$B$10,Paramètres!$A$1:$I$89,3,0)*0.475*44/12</f>
        <v>1.1064082584223449E-5</v>
      </c>
      <c r="AX75" s="21">
        <f t="shared" si="60"/>
        <v>5.5048809350810286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2.8421709430404007E-14</v>
      </c>
      <c r="BE75" s="13">
        <f>BD75*VLOOKUP('Données projet'!$B$11,Paramètres!$A$1:$I$89,3,0)*VLOOKUP('Données projet'!$B$11,Paramètres!$A$1:$I$89,5,0)</f>
        <v>1.8178525351686402E-14</v>
      </c>
      <c r="BF75" s="13">
        <f t="shared" si="91"/>
        <v>3.3304129621647644E-13</v>
      </c>
      <c r="BG75" s="20">
        <f t="shared" si="61"/>
        <v>6.1170785589788349E-13</v>
      </c>
      <c r="BH75" s="59">
        <f t="shared" si="62"/>
        <v>293.33333333333394</v>
      </c>
      <c r="BI75" s="59">
        <f ca="1">AVERAGE(OFFSET($BH$3,0,0,'Données projet'!$E$11+1,1))-AVERAGE(OFFSET($H$3,0,0,'Données projet'!$E$11+1,1))</f>
        <v>64.256756080189803</v>
      </c>
      <c r="BJ75" s="59">
        <f t="shared" si="92"/>
        <v>209.76343043971747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15.072804320804194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3.5214825777732893E-7</v>
      </c>
      <c r="BS75" s="22">
        <f t="shared" si="63"/>
        <v>15.072804672952451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8.3000000000000007</v>
      </c>
      <c r="N76" s="13">
        <f>IF('Données projet'!$A$36&gt;35,N75+M76-V75,IF(A76&lt;'Données projet'!$A$36,$K$205^A76,IF(A76='Données projet'!$A$36,'Données projet'!$B$36,N75+M76-V75)))</f>
        <v>455.90000000000026</v>
      </c>
      <c r="O76" s="13">
        <f>N76*VLOOKUP('Données projet'!$B$9,Paramètres!$A$1:$I$89,3,0)*VLOOKUP('Données projet'!$B$9,Paramètres!$A$1:$I$89,5,0)</f>
        <v>254.84810000000016</v>
      </c>
      <c r="P76" s="13">
        <f t="shared" si="87"/>
        <v>61.622925177592492</v>
      </c>
      <c r="Q76" s="20">
        <f t="shared" si="54"/>
        <v>551.18703551764054</v>
      </c>
      <c r="R76" s="59">
        <f t="shared" si="55"/>
        <v>844.52036885097391</v>
      </c>
      <c r="S76" s="59">
        <f ca="1">AVERAGE(OFFSET($R$3,0,0,'Données projet'!$E$9+1,1))-AVERAGE(OFFSET($H$3,0,0,'Données projet'!$E$9+1,1))</f>
        <v>235.10258076192054</v>
      </c>
      <c r="T76" s="59">
        <f t="shared" si="88"/>
        <v>233.47316052603765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1.461992982606779</v>
      </c>
      <c r="AA76" s="21">
        <f>EXP(-LN(2)/25)*AA75+(1-EXP(-LN(2)/25))/(LN(2)/25)*Calculateur!V76*Calculateur!X76*VLOOKUP('Données projet'!$B$9,Paramètres!$A$1:$I$89,3,0)*0.475*44/12</f>
        <v>5.5958856587472434</v>
      </c>
      <c r="AB76" s="21">
        <f>EXP(-LN(2)/2)*AB75+(1-EXP(-LN(2)/2))/(LN(2)/2)*V76*Y76*VLOOKUP('Données projet'!$B$9,Paramètres!$A$1:$I$89,3,0)*0.475*44/12</f>
        <v>8.1333577930615154E-6</v>
      </c>
      <c r="AC76" s="22">
        <f t="shared" si="57"/>
        <v>7.0578867747118164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3.3</v>
      </c>
      <c r="AI76" s="13">
        <f>IF('Données projet'!$A$62&gt;35,AI75+AH76-AQ75,IF(A76&lt;'Données projet'!$A$62,$AF$205^A76,IF(A76='Données projet'!$A$62,'Données projet'!$B$62,AI75+AH76-AQ75)))</f>
        <v>200.89999999999984</v>
      </c>
      <c r="AJ76" s="13">
        <f>AI76*VLOOKUP('Données projet'!$B$10,Paramètres!$A$1:$I$89,3,0)*VLOOKUP('Données projet'!$B$10,Paramètres!$A$1:$I$89,5,0)</f>
        <v>175.50623999999988</v>
      </c>
      <c r="AK76" s="13">
        <f t="shared" si="89"/>
        <v>44.320941021227853</v>
      </c>
      <c r="AL76" s="20">
        <f t="shared" si="58"/>
        <v>382.86567361197154</v>
      </c>
      <c r="AM76" s="59">
        <f t="shared" si="59"/>
        <v>676.19900694530486</v>
      </c>
      <c r="AN76" s="59">
        <f ca="1">AVERAGE(OFFSET($AM$3,0,0,'Données projet'!$E$10+1,1))-AVERAGE(OFFSET($H$3,0,0,'Données projet'!$E$10+1,1))</f>
        <v>191.94797389630673</v>
      </c>
      <c r="AO76" s="59">
        <f t="shared" si="90"/>
        <v>273.52540822767878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4.2642982845356974</v>
      </c>
      <c r="AW76" s="21">
        <f>EXP(-LN(2)/2)*AW75+(1-EXP(-LN(2)/2))/(LN(2)/2)*AQ76*AT76*VLOOKUP('Données projet'!$B$10,Paramètres!$A$1:$I$89,3,0)*0.475*44/12</f>
        <v>7.8234878229123813E-6</v>
      </c>
      <c r="AX76" s="21">
        <f t="shared" si="60"/>
        <v>5.3630159858613426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2.8421709430404007E-14</v>
      </c>
      <c r="BE76" s="13">
        <f>BD76*VLOOKUP('Données projet'!$B$11,Paramètres!$A$1:$I$89,3,0)*VLOOKUP('Données projet'!$B$11,Paramètres!$A$1:$I$89,5,0)</f>
        <v>1.8178525351686402E-14</v>
      </c>
      <c r="BF76" s="13">
        <f t="shared" si="91"/>
        <v>3.3304129621647644E-13</v>
      </c>
      <c r="BG76" s="20">
        <f t="shared" si="61"/>
        <v>6.1170785589788349E-13</v>
      </c>
      <c r="BH76" s="59">
        <f t="shared" si="62"/>
        <v>293.33333333333394</v>
      </c>
      <c r="BI76" s="59">
        <f ca="1">AVERAGE(OFFSET($BH$3,0,0,'Données projet'!$E$11+1,1))-AVERAGE(OFFSET($H$3,0,0,'Données projet'!$E$11+1,1))</f>
        <v>64.256756080189803</v>
      </c>
      <c r="BJ76" s="59">
        <f t="shared" si="92"/>
        <v>209.76343043971747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14.777235821576076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2.4900642105737766E-7</v>
      </c>
      <c r="BS76" s="22">
        <f t="shared" si="63"/>
        <v>14.777236070582497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8.3000000000000007</v>
      </c>
      <c r="N77" s="13">
        <f>IF('Données projet'!$A$36&gt;35,N76+M77-V76,IF(A77&lt;'Données projet'!$A$36,$K$205^A77,IF(A77='Données projet'!$A$36,'Données projet'!$B$36,N76+M77-V76)))</f>
        <v>464.20000000000027</v>
      </c>
      <c r="O77" s="13">
        <f>N77*VLOOKUP('Données projet'!$B$9,Paramètres!$A$1:$I$89,3,0)*VLOOKUP('Données projet'!$B$9,Paramètres!$A$1:$I$89,5,0)</f>
        <v>259.48780000000016</v>
      </c>
      <c r="P77" s="13">
        <f t="shared" si="87"/>
        <v>62.613185087484013</v>
      </c>
      <c r="Q77" s="20">
        <f t="shared" si="54"/>
        <v>560.99254902736823</v>
      </c>
      <c r="R77" s="59">
        <f t="shared" si="55"/>
        <v>854.3258823607016</v>
      </c>
      <c r="S77" s="59">
        <f ca="1">AVERAGE(OFFSET($R$3,0,0,'Données projet'!$E$9+1,1))-AVERAGE(OFFSET($H$3,0,0,'Données projet'!$E$9+1,1))</f>
        <v>235.10258076192054</v>
      </c>
      <c r="T77" s="59">
        <f t="shared" si="88"/>
        <v>233.47316052603765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1.4333241919455286</v>
      </c>
      <c r="AA77" s="21">
        <f>EXP(-LN(2)/25)*AA76+(1-EXP(-LN(2)/25))/(LN(2)/25)*Calculateur!V77*Calculateur!X77*VLOOKUP('Données projet'!$B$9,Paramètres!$A$1:$I$89,3,0)*0.475*44/12</f>
        <v>5.4428658711339626</v>
      </c>
      <c r="AB77" s="21">
        <f>EXP(-LN(2)/2)*AB76+(1-EXP(-LN(2)/2))/(LN(2)/2)*V77*Y77*VLOOKUP('Données projet'!$B$9,Paramètres!$A$1:$I$89,3,0)*0.475*44/12</f>
        <v>5.7511524492902501E-6</v>
      </c>
      <c r="AC77" s="22">
        <f t="shared" si="57"/>
        <v>6.8761958142319406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3.3</v>
      </c>
      <c r="AI77" s="13">
        <f>IF('Données projet'!$A$62&gt;35,AI76+AH77-AQ76,IF(A77&lt;'Données projet'!$A$62,$AF$205^A77,IF(A77='Données projet'!$A$62,'Données projet'!$B$62,AI76+AH77-AQ76)))</f>
        <v>204.19999999999985</v>
      </c>
      <c r="AJ77" s="13">
        <f>AI77*VLOOKUP('Données projet'!$B$10,Paramètres!$A$1:$I$89,3,0)*VLOOKUP('Données projet'!$B$10,Paramètres!$A$1:$I$89,5,0)</f>
        <v>178.38911999999988</v>
      </c>
      <c r="AK77" s="13">
        <f t="shared" si="89"/>
        <v>44.963607752190804</v>
      </c>
      <c r="AL77" s="20">
        <f t="shared" si="58"/>
        <v>389.00600083506538</v>
      </c>
      <c r="AM77" s="59">
        <f t="shared" si="59"/>
        <v>682.33933416839864</v>
      </c>
      <c r="AN77" s="59">
        <f ca="1">AVERAGE(OFFSET($AM$3,0,0,'Données projet'!$E$10+1,1))-AVERAGE(OFFSET($H$3,0,0,'Données projet'!$E$10+1,1))</f>
        <v>191.94797389630673</v>
      </c>
      <c r="AO77" s="59">
        <f t="shared" si="90"/>
        <v>273.52540822767878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4.1476908236953678</v>
      </c>
      <c r="AW77" s="21">
        <f>EXP(-LN(2)/2)*AW76+(1-EXP(-LN(2)/2))/(LN(2)/2)*AQ77*AT77*VLOOKUP('Données projet'!$B$10,Paramètres!$A$1:$I$89,3,0)*0.475*44/12</f>
        <v>5.5320412921117245E-6</v>
      </c>
      <c r="AX77" s="21">
        <f t="shared" si="60"/>
        <v>5.2248612030169364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2.8421709430404007E-14</v>
      </c>
      <c r="BE77" s="13">
        <f>BD77*VLOOKUP('Données projet'!$B$11,Paramètres!$A$1:$I$89,3,0)*VLOOKUP('Données projet'!$B$11,Paramètres!$A$1:$I$89,5,0)</f>
        <v>1.8178525351686402E-14</v>
      </c>
      <c r="BF77" s="13">
        <f t="shared" si="91"/>
        <v>3.3304129621647644E-13</v>
      </c>
      <c r="BG77" s="20">
        <f t="shared" si="61"/>
        <v>6.1170785589788349E-13</v>
      </c>
      <c r="BH77" s="59">
        <f t="shared" si="62"/>
        <v>293.33333333333394</v>
      </c>
      <c r="BI77" s="59">
        <f ca="1">AVERAGE(OFFSET($BH$3,0,0,'Données projet'!$E$11+1,1))-AVERAGE(OFFSET($H$3,0,0,'Données projet'!$E$11+1,1))</f>
        <v>64.256756080189803</v>
      </c>
      <c r="BJ77" s="59">
        <f t="shared" si="92"/>
        <v>209.76343043971747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14.487463240338839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1.7607412888866446E-7</v>
      </c>
      <c r="BS77" s="22">
        <f t="shared" si="63"/>
        <v>14.487463416412968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8.3000000000000007</v>
      </c>
      <c r="N78" s="13">
        <f>IF('Données projet'!$A$36&gt;35,N77+M78-V77,IF(A78&lt;'Données projet'!$A$36,$K$205^A78,IF(A78='Données projet'!$A$36,'Données projet'!$B$36,N77+M78-V77)))</f>
        <v>472.50000000000028</v>
      </c>
      <c r="O78" s="13">
        <f>N78*VLOOKUP('Données projet'!$B$9,Paramètres!$A$1:$I$89,3,0)*VLOOKUP('Données projet'!$B$9,Paramètres!$A$1:$I$89,5,0)</f>
        <v>264.12750000000017</v>
      </c>
      <c r="P78" s="13">
        <f t="shared" si="87"/>
        <v>63.601386038191272</v>
      </c>
      <c r="Q78" s="20">
        <f t="shared" si="54"/>
        <v>570.79447651651674</v>
      </c>
      <c r="R78" s="59">
        <f t="shared" si="55"/>
        <v>864.12780984985011</v>
      </c>
      <c r="S78" s="59">
        <f ca="1">AVERAGE(OFFSET($R$3,0,0,'Données projet'!$E$9+1,1))-AVERAGE(OFFSET($H$3,0,0,'Données projet'!$E$9+1,1))</f>
        <v>235.10258076192054</v>
      </c>
      <c r="T78" s="59">
        <f t="shared" si="88"/>
        <v>233.47316052603765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1.4052175787829098</v>
      </c>
      <c r="AA78" s="21">
        <f>EXP(-LN(2)/25)*AA77+(1-EXP(-LN(2)/25))/(LN(2)/25)*Calculateur!V78*Calculateur!X78*VLOOKUP('Données projet'!$B$9,Paramètres!$A$1:$I$89,3,0)*0.475*44/12</f>
        <v>5.2940304176599282</v>
      </c>
      <c r="AB78" s="21">
        <f>EXP(-LN(2)/2)*AB77+(1-EXP(-LN(2)/2))/(LN(2)/2)*V78*Y78*VLOOKUP('Données projet'!$B$9,Paramètres!$A$1:$I$89,3,0)*0.475*44/12</f>
        <v>4.0666788965307577E-6</v>
      </c>
      <c r="AC78" s="22">
        <f t="shared" si="57"/>
        <v>6.6992520631217349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3.3</v>
      </c>
      <c r="AI78" s="13">
        <f>IF('Données projet'!$A$62&gt;35,AI77+AH78-AQ77,IF(A78&lt;'Données projet'!$A$62,$AF$205^A78,IF(A78='Données projet'!$A$62,'Données projet'!$B$62,AI77+AH78-AQ77)))</f>
        <v>207.49999999999986</v>
      </c>
      <c r="AJ78" s="13">
        <f>AI78*VLOOKUP('Données projet'!$B$10,Paramètres!$A$1:$I$89,3,0)*VLOOKUP('Données projet'!$B$10,Paramètres!$A$1:$I$89,5,0)</f>
        <v>181.27199999999991</v>
      </c>
      <c r="AK78" s="13">
        <f t="shared" si="89"/>
        <v>45.605066645465826</v>
      </c>
      <c r="AL78" s="20">
        <f t="shared" si="58"/>
        <v>395.14422440751946</v>
      </c>
      <c r="AM78" s="59">
        <f t="shared" si="59"/>
        <v>688.47755774085272</v>
      </c>
      <c r="AN78" s="59">
        <f ca="1">AVERAGE(OFFSET($AM$3,0,0,'Données projet'!$E$10+1,1))-AVERAGE(OFFSET($H$3,0,0,'Données projet'!$E$10+1,1))</f>
        <v>191.94797389630673</v>
      </c>
      <c r="AO78" s="59">
        <f t="shared" si="90"/>
        <v>273.52540822767878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4.0342720000038375</v>
      </c>
      <c r="AW78" s="21">
        <f>EXP(-LN(2)/2)*AW77+(1-EXP(-LN(2)/2))/(LN(2)/2)*AQ78*AT78*VLOOKUP('Données projet'!$B$10,Paramètres!$A$1:$I$89,3,0)*0.475*44/12</f>
        <v>3.9117439114561907E-6</v>
      </c>
      <c r="AX78" s="21">
        <f t="shared" si="60"/>
        <v>5.0903182133785432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2.8421709430404007E-14</v>
      </c>
      <c r="BE78" s="13">
        <f>BD78*VLOOKUP('Données projet'!$B$11,Paramètres!$A$1:$I$89,3,0)*VLOOKUP('Données projet'!$B$11,Paramètres!$A$1:$I$89,5,0)</f>
        <v>1.8178525351686402E-14</v>
      </c>
      <c r="BF78" s="13">
        <f t="shared" si="91"/>
        <v>3.3304129621647644E-13</v>
      </c>
      <c r="BG78" s="20">
        <f t="shared" si="61"/>
        <v>6.1170785589788349E-13</v>
      </c>
      <c r="BH78" s="59">
        <f t="shared" si="62"/>
        <v>293.33333333333394</v>
      </c>
      <c r="BI78" s="59">
        <f ca="1">AVERAGE(OFFSET($BH$3,0,0,'Données projet'!$E$11+1,1))-AVERAGE(OFFSET($H$3,0,0,'Données projet'!$E$11+1,1))</f>
        <v>64.256756080189803</v>
      </c>
      <c r="BJ78" s="59">
        <f t="shared" si="92"/>
        <v>209.76343043971747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14.203372922675841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1.2450321052868883E-7</v>
      </c>
      <c r="BS78" s="22">
        <f t="shared" si="63"/>
        <v>14.203373047179053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8.3000000000000007</v>
      </c>
      <c r="N79" s="13">
        <f>IF('Données projet'!$A$36&gt;35,N78+M79-V78,IF(A79&lt;'Données projet'!$A$36,$K$205^A79,IF(A79='Données projet'!$A$36,'Données projet'!$B$36,N78+M79-V78)))</f>
        <v>480.8000000000003</v>
      </c>
      <c r="O79" s="13">
        <f>N79*VLOOKUP('Données projet'!$B$9,Paramètres!$A$1:$I$89,3,0)*VLOOKUP('Données projet'!$B$9,Paramètres!$A$1:$I$89,5,0)</f>
        <v>268.76720000000017</v>
      </c>
      <c r="P79" s="13">
        <f t="shared" si="87"/>
        <v>64.587568370555275</v>
      </c>
      <c r="Q79" s="20">
        <f t="shared" si="54"/>
        <v>580.59288824538407</v>
      </c>
      <c r="R79" s="59">
        <f t="shared" si="55"/>
        <v>873.92622157871733</v>
      </c>
      <c r="S79" s="59">
        <f ca="1">AVERAGE(OFFSET($R$3,0,0,'Données projet'!$E$9+1,1))-AVERAGE(OFFSET($H$3,0,0,'Données projet'!$E$9+1,1))</f>
        <v>235.10258076192054</v>
      </c>
      <c r="T79" s="59">
        <f t="shared" si="88"/>
        <v>233.47316052603765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1.3776621191610685</v>
      </c>
      <c r="AA79" s="21">
        <f>EXP(-LN(2)/25)*AA78+(1-EXP(-LN(2)/25))/(LN(2)/25)*Calculateur!V79*Calculateur!X79*VLOOKUP('Données projet'!$B$9,Paramètres!$A$1:$I$89,3,0)*0.475*44/12</f>
        <v>5.1492648774880578</v>
      </c>
      <c r="AB79" s="21">
        <f>EXP(-LN(2)/2)*AB78+(1-EXP(-LN(2)/2))/(LN(2)/2)*V79*Y79*VLOOKUP('Données projet'!$B$9,Paramètres!$A$1:$I$89,3,0)*0.475*44/12</f>
        <v>2.8755762246451251E-6</v>
      </c>
      <c r="AC79" s="22">
        <f t="shared" si="57"/>
        <v>6.5269298722253506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3.3</v>
      </c>
      <c r="AI79" s="13">
        <f>IF('Données projet'!$A$62&gt;35,AI78+AH79-AQ78,IF(A79&lt;'Données projet'!$A$62,$AF$205^A79,IF(A79='Données projet'!$A$62,'Données projet'!$B$62,AI78+AH79-AQ78)))</f>
        <v>210.79999999999987</v>
      </c>
      <c r="AJ79" s="13">
        <f>AI79*VLOOKUP('Données projet'!$B$10,Paramètres!$A$1:$I$89,3,0)*VLOOKUP('Données projet'!$B$10,Paramètres!$A$1:$I$89,5,0)</f>
        <v>184.15487999999993</v>
      </c>
      <c r="AK79" s="13">
        <f t="shared" si="89"/>
        <v>46.245339127946259</v>
      </c>
      <c r="AL79" s="20">
        <f t="shared" si="58"/>
        <v>401.28038164783965</v>
      </c>
      <c r="AM79" s="59">
        <f t="shared" si="59"/>
        <v>694.61371498117296</v>
      </c>
      <c r="AN79" s="59">
        <f ca="1">AVERAGE(OFFSET($AM$3,0,0,'Données projet'!$E$10+1,1))-AVERAGE(OFFSET($H$3,0,0,'Données projet'!$E$10+1,1))</f>
        <v>191.94797389630673</v>
      </c>
      <c r="AO79" s="59">
        <f t="shared" si="90"/>
        <v>273.52540822767878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3.9239546200105884</v>
      </c>
      <c r="AW79" s="21">
        <f>EXP(-LN(2)/2)*AW78+(1-EXP(-LN(2)/2))/(LN(2)/2)*AQ79*AT79*VLOOKUP('Données projet'!$B$10,Paramètres!$A$1:$I$89,3,0)*0.475*44/12</f>
        <v>2.7660206460558622E-6</v>
      </c>
      <c r="AX79" s="21">
        <f t="shared" si="60"/>
        <v>4.9592913422492506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2.8421709430404007E-14</v>
      </c>
      <c r="BE79" s="13">
        <f>BD79*VLOOKUP('Données projet'!$B$11,Paramètres!$A$1:$I$89,3,0)*VLOOKUP('Données projet'!$B$11,Paramètres!$A$1:$I$89,5,0)</f>
        <v>1.8178525351686402E-14</v>
      </c>
      <c r="BF79" s="13">
        <f t="shared" si="91"/>
        <v>3.3304129621647644E-13</v>
      </c>
      <c r="BG79" s="20">
        <f t="shared" si="61"/>
        <v>6.1170785589788349E-13</v>
      </c>
      <c r="BH79" s="59">
        <f t="shared" si="62"/>
        <v>293.33333333333394</v>
      </c>
      <c r="BI79" s="59">
        <f ca="1">AVERAGE(OFFSET($BH$3,0,0,'Données projet'!$E$11+1,1))-AVERAGE(OFFSET($H$3,0,0,'Données projet'!$E$11+1,1))</f>
        <v>64.256756080189803</v>
      </c>
      <c r="BJ79" s="59">
        <f t="shared" si="92"/>
        <v>209.76343043971747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13.924853442864231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8.8037064444332232E-8</v>
      </c>
      <c r="BS79" s="22">
        <f t="shared" si="63"/>
        <v>13.924853530901295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8.3000000000000007</v>
      </c>
      <c r="N80" s="13">
        <f>IF('Données projet'!$A$36&gt;35,N79+M80-V79,IF(A80&lt;'Données projet'!$A$36,$K$205^A80,IF(A80='Données projet'!$A$36,'Données projet'!$B$36,N79+M80-V79)))</f>
        <v>489.10000000000031</v>
      </c>
      <c r="O80" s="13">
        <f>N80*VLOOKUP('Données projet'!$B$9,Paramètres!$A$1:$I$89,3,0)*VLOOKUP('Données projet'!$B$9,Paramètres!$A$1:$I$89,5,0)</f>
        <v>273.40690000000018</v>
      </c>
      <c r="P80" s="13">
        <f t="shared" si="87"/>
        <v>65.571770952817729</v>
      </c>
      <c r="Q80" s="20">
        <f t="shared" si="54"/>
        <v>590.38785190949113</v>
      </c>
      <c r="R80" s="59">
        <f t="shared" si="55"/>
        <v>883.7211852428245</v>
      </c>
      <c r="S80" s="59">
        <f ca="1">AVERAGE(OFFSET($R$3,0,0,'Données projet'!$E$9+1,1))-AVERAGE(OFFSET($H$3,0,0,'Données projet'!$E$9+1,1))</f>
        <v>235.10258076192054</v>
      </c>
      <c r="T80" s="59">
        <f t="shared" si="88"/>
        <v>233.47316052603765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1.3506470052952408</v>
      </c>
      <c r="AA80" s="21">
        <f>EXP(-LN(2)/25)*AA79+(1-EXP(-LN(2)/25))/(LN(2)/25)*Calculateur!V80*Calculateur!X80*VLOOKUP('Données projet'!$B$9,Paramètres!$A$1:$I$89,3,0)*0.475*44/12</f>
        <v>5.0084579586250761</v>
      </c>
      <c r="AB80" s="21">
        <f>EXP(-LN(2)/2)*AB79+(1-EXP(-LN(2)/2))/(LN(2)/2)*V80*Y80*VLOOKUP('Données projet'!$B$9,Paramètres!$A$1:$I$89,3,0)*0.475*44/12</f>
        <v>2.0333394482653788E-6</v>
      </c>
      <c r="AC80" s="22">
        <f t="shared" si="57"/>
        <v>6.3591069972597651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3.3</v>
      </c>
      <c r="AI80" s="13">
        <f>IF('Données projet'!$A$62&gt;35,AI79+AH80-AQ79,IF(A80&lt;'Données projet'!$A$62,$AF$205^A80,IF(A80='Données projet'!$A$62,'Données projet'!$B$62,AI79+AH80-AQ79)))</f>
        <v>214.09999999999988</v>
      </c>
      <c r="AJ80" s="13">
        <f>AI80*VLOOKUP('Données projet'!$B$10,Paramètres!$A$1:$I$89,3,0)*VLOOKUP('Données projet'!$B$10,Paramètres!$A$1:$I$89,5,0)</f>
        <v>187.03775999999991</v>
      </c>
      <c r="AK80" s="13">
        <f t="shared" si="89"/>
        <v>46.884445917180038</v>
      </c>
      <c r="AL80" s="20">
        <f t="shared" si="58"/>
        <v>407.41450863908841</v>
      </c>
      <c r="AM80" s="59">
        <f t="shared" si="59"/>
        <v>700.74784197242172</v>
      </c>
      <c r="AN80" s="59">
        <f ca="1">AVERAGE(OFFSET($AM$3,0,0,'Données projet'!$E$10+1,1))-AVERAGE(OFFSET($H$3,0,0,'Données projet'!$E$10+1,1))</f>
        <v>191.94797389630673</v>
      </c>
      <c r="AO80" s="59">
        <f t="shared" si="90"/>
        <v>273.52540822767878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3.8166538745745937</v>
      </c>
      <c r="AW80" s="21">
        <f>EXP(-LN(2)/2)*AW79+(1-EXP(-LN(2)/2))/(LN(2)/2)*AQ80*AT80*VLOOKUP('Données projet'!$B$10,Paramètres!$A$1:$I$89,3,0)*0.475*44/12</f>
        <v>1.9558719557280953E-6</v>
      </c>
      <c r="AX80" s="21">
        <f t="shared" si="60"/>
        <v>4.8316875192744897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2.8421709430404007E-14</v>
      </c>
      <c r="BE80" s="13">
        <f>BD80*VLOOKUP('Données projet'!$B$11,Paramètres!$A$1:$I$89,3,0)*VLOOKUP('Données projet'!$B$11,Paramètres!$A$1:$I$89,5,0)</f>
        <v>1.8178525351686402E-14</v>
      </c>
      <c r="BF80" s="13">
        <f t="shared" si="91"/>
        <v>3.3304129621647644E-13</v>
      </c>
      <c r="BG80" s="20">
        <f t="shared" si="61"/>
        <v>6.1170785589788349E-13</v>
      </c>
      <c r="BH80" s="59">
        <f t="shared" si="62"/>
        <v>293.33333333333394</v>
      </c>
      <c r="BI80" s="59">
        <f ca="1">AVERAGE(OFFSET($BH$3,0,0,'Données projet'!$E$11+1,1))-AVERAGE(OFFSET($H$3,0,0,'Données projet'!$E$11+1,1))</f>
        <v>64.256756080189803</v>
      </c>
      <c r="BJ80" s="59">
        <f t="shared" si="92"/>
        <v>209.76343043971747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13.651795560171617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6.2251605264344415E-8</v>
      </c>
      <c r="BS80" s="22">
        <f t="shared" si="63"/>
        <v>13.651795622423222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8.3000000000000007</v>
      </c>
      <c r="N81" s="13">
        <f>IF('Données projet'!$A$36&gt;35,N80+M81-V80,IF(A81&lt;'Données projet'!$A$36,$K$205^A81,IF(A81='Données projet'!$A$36,'Données projet'!$B$36,N80+M81-V80)))</f>
        <v>497.40000000000032</v>
      </c>
      <c r="O81" s="13">
        <f>N81*VLOOKUP('Données projet'!$B$9,Paramètres!$A$1:$I$89,3,0)*VLOOKUP('Données projet'!$B$9,Paramètres!$A$1:$I$89,5,0)</f>
        <v>278.04660000000018</v>
      </c>
      <c r="P81" s="13">
        <f t="shared" si="87"/>
        <v>66.554031258437732</v>
      </c>
      <c r="Q81" s="20">
        <f t="shared" si="54"/>
        <v>600.17943277511279</v>
      </c>
      <c r="R81" s="59">
        <f t="shared" si="55"/>
        <v>893.51276610844616</v>
      </c>
      <c r="S81" s="59">
        <f ca="1">AVERAGE(OFFSET($R$3,0,0,'Données projet'!$E$9+1,1))-AVERAGE(OFFSET($H$3,0,0,'Données projet'!$E$9+1,1))</f>
        <v>235.10258076192054</v>
      </c>
      <c r="T81" s="59">
        <f t="shared" si="88"/>
        <v>233.47316052603765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1.3241616413347297</v>
      </c>
      <c r="AA81" s="21">
        <f>EXP(-LN(2)/25)*AA80+(1-EXP(-LN(2)/25))/(LN(2)/25)*Calculateur!V81*Calculateur!X81*VLOOKUP('Données projet'!$B$9,Paramètres!$A$1:$I$89,3,0)*0.475*44/12</f>
        <v>4.8715014123631164</v>
      </c>
      <c r="AB81" s="21">
        <f>EXP(-LN(2)/2)*AB80+(1-EXP(-LN(2)/2))/(LN(2)/2)*V81*Y81*VLOOKUP('Données projet'!$B$9,Paramètres!$A$1:$I$89,3,0)*0.475*44/12</f>
        <v>1.4377881123225625E-6</v>
      </c>
      <c r="AC81" s="22">
        <f t="shared" si="57"/>
        <v>6.1956644914859584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3.3</v>
      </c>
      <c r="AI81" s="13">
        <f>IF('Données projet'!$A$62&gt;35,AI80+AH81-AQ80,IF(A81&lt;'Données projet'!$A$62,$AF$205^A81,IF(A81='Données projet'!$A$62,'Données projet'!$B$62,AI80+AH81-AQ80)))</f>
        <v>217.39999999999989</v>
      </c>
      <c r="AJ81" s="13">
        <f>AI81*VLOOKUP('Données projet'!$B$10,Paramètres!$A$1:$I$89,3,0)*VLOOKUP('Données projet'!$B$10,Paramètres!$A$1:$I$89,5,0)</f>
        <v>189.92063999999993</v>
      </c>
      <c r="AK81" s="13">
        <f t="shared" si="89"/>
        <v>47.522407055417723</v>
      </c>
      <c r="AL81" s="20">
        <f t="shared" si="58"/>
        <v>413.54664028818576</v>
      </c>
      <c r="AM81" s="59">
        <f t="shared" si="59"/>
        <v>706.87997362151907</v>
      </c>
      <c r="AN81" s="59">
        <f ca="1">AVERAGE(OFFSET($AM$3,0,0,'Données projet'!$E$10+1,1))-AVERAGE(OFFSET($H$3,0,0,'Données projet'!$E$10+1,1))</f>
        <v>191.94797389630673</v>
      </c>
      <c r="AO81" s="59">
        <f t="shared" si="90"/>
        <v>273.52540822767878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3.7122872736652472</v>
      </c>
      <c r="AW81" s="21">
        <f>EXP(-LN(2)/2)*AW80+(1-EXP(-LN(2)/2))/(LN(2)/2)*AQ81*AT81*VLOOKUP('Données projet'!$B$10,Paramètres!$A$1:$I$89,3,0)*0.475*44/12</f>
        <v>1.3830103230279311E-6</v>
      </c>
      <c r="AX81" s="21">
        <f t="shared" si="60"/>
        <v>4.7074161931937928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2.8421709430404007E-14</v>
      </c>
      <c r="BE81" s="13">
        <f>BD81*VLOOKUP('Données projet'!$B$11,Paramètres!$A$1:$I$89,3,0)*VLOOKUP('Données projet'!$B$11,Paramètres!$A$1:$I$89,5,0)</f>
        <v>1.8178525351686402E-14</v>
      </c>
      <c r="BF81" s="13">
        <f t="shared" si="91"/>
        <v>3.3304129621647644E-13</v>
      </c>
      <c r="BG81" s="20">
        <f t="shared" si="61"/>
        <v>6.1170785589788349E-13</v>
      </c>
      <c r="BH81" s="59">
        <f t="shared" si="62"/>
        <v>293.33333333333394</v>
      </c>
      <c r="BI81" s="59">
        <f ca="1">AVERAGE(OFFSET($BH$3,0,0,'Données projet'!$E$11+1,1))-AVERAGE(OFFSET($H$3,0,0,'Données projet'!$E$11+1,1))</f>
        <v>64.256756080189803</v>
      </c>
      <c r="BJ81" s="59">
        <f t="shared" si="92"/>
        <v>209.76343043971747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13.384092176009743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4.4018532222166116E-8</v>
      </c>
      <c r="BS81" s="22">
        <f t="shared" si="63"/>
        <v>13.384092220028275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8.3000000000000007</v>
      </c>
      <c r="N82" s="13">
        <f>IF('Données projet'!$A$36&gt;35,N81+M82-V81,IF(A82&lt;'Données projet'!$A$36,$K$205^A82,IF(A82='Données projet'!$A$36,'Données projet'!$B$36,N81+M82-V81)))</f>
        <v>505.70000000000033</v>
      </c>
      <c r="O82" s="13">
        <f>N82*VLOOKUP('Données projet'!$B$9,Paramètres!$A$1:$I$89,3,0)*VLOOKUP('Données projet'!$B$9,Paramètres!$A$1:$I$89,5,0)</f>
        <v>282.68630000000019</v>
      </c>
      <c r="P82" s="13">
        <f t="shared" si="87"/>
        <v>67.534385438566929</v>
      </c>
      <c r="Q82" s="20">
        <f t="shared" si="54"/>
        <v>609.96769380550427</v>
      </c>
      <c r="R82" s="59">
        <f t="shared" si="55"/>
        <v>903.30102713883753</v>
      </c>
      <c r="S82" s="59">
        <f ca="1">AVERAGE(OFFSET($R$3,0,0,'Données projet'!$E$9+1,1))-AVERAGE(OFFSET($H$3,0,0,'Données projet'!$E$9+1,1))</f>
        <v>235.10258076192054</v>
      </c>
      <c r="T82" s="59">
        <f t="shared" si="88"/>
        <v>233.47316052603765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1.2981956392070071</v>
      </c>
      <c r="AA82" s="21">
        <f>EXP(-LN(2)/25)*AA81+(1-EXP(-LN(2)/25))/(LN(2)/25)*Calculateur!V82*Calculateur!X82*VLOOKUP('Données projet'!$B$9,Paramètres!$A$1:$I$89,3,0)*0.475*44/12</f>
        <v>4.7382899500609215</v>
      </c>
      <c r="AB82" s="21">
        <f>EXP(-LN(2)/2)*AB81+(1-EXP(-LN(2)/2))/(LN(2)/2)*V82*Y82*VLOOKUP('Données projet'!$B$9,Paramètres!$A$1:$I$89,3,0)*0.475*44/12</f>
        <v>1.0166697241326894E-6</v>
      </c>
      <c r="AC82" s="22">
        <f t="shared" si="57"/>
        <v>6.036486605937653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3.3</v>
      </c>
      <c r="AI82" s="13">
        <f>IF('Données projet'!$A$62&gt;35,AI81+AH82-AQ81,IF(A82&lt;'Données projet'!$A$62,$AF$205^A82,IF(A82='Données projet'!$A$62,'Données projet'!$B$62,AI81+AH82-AQ81)))</f>
        <v>220.6999999999999</v>
      </c>
      <c r="AJ82" s="13">
        <f>AI82*VLOOKUP('Données projet'!$B$10,Paramètres!$A$1:$I$89,3,0)*VLOOKUP('Données projet'!$B$10,Paramètres!$A$1:$I$89,5,0)</f>
        <v>192.80351999999993</v>
      </c>
      <c r="AK82" s="13">
        <f t="shared" si="89"/>
        <v>48.159241941533828</v>
      </c>
      <c r="AL82" s="20">
        <f t="shared" si="58"/>
        <v>419.67681038150459</v>
      </c>
      <c r="AM82" s="59">
        <f t="shared" si="59"/>
        <v>713.01014371483791</v>
      </c>
      <c r="AN82" s="59">
        <f ca="1">AVERAGE(OFFSET($AM$3,0,0,'Données projet'!$E$10+1,1))-AVERAGE(OFFSET($H$3,0,0,'Données projet'!$E$10+1,1))</f>
        <v>191.94797389630673</v>
      </c>
      <c r="AO82" s="59">
        <f t="shared" si="90"/>
        <v>273.52540822767878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3.6107745829461679</v>
      </c>
      <c r="AW82" s="21">
        <f>EXP(-LN(2)/2)*AW81+(1-EXP(-LN(2)/2))/(LN(2)/2)*AQ82*AT82*VLOOKUP('Données projet'!$B$10,Paramètres!$A$1:$I$89,3,0)*0.475*44/12</f>
        <v>9.7793597786404767E-7</v>
      </c>
      <c r="AX82" s="21">
        <f t="shared" si="60"/>
        <v>4.5863892533771091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2.8421709430404007E-14</v>
      </c>
      <c r="BE82" s="13">
        <f>BD82*VLOOKUP('Données projet'!$B$11,Paramètres!$A$1:$I$89,3,0)*VLOOKUP('Données projet'!$B$11,Paramètres!$A$1:$I$89,5,0)</f>
        <v>1.8178525351686402E-14</v>
      </c>
      <c r="BF82" s="13">
        <f t="shared" si="91"/>
        <v>3.3304129621647644E-13</v>
      </c>
      <c r="BG82" s="20">
        <f t="shared" si="61"/>
        <v>6.1170785589788349E-13</v>
      </c>
      <c r="BH82" s="59">
        <f t="shared" si="62"/>
        <v>293.33333333333394</v>
      </c>
      <c r="BI82" s="59">
        <f ca="1">AVERAGE(OFFSET($BH$3,0,0,'Données projet'!$E$11+1,1))-AVERAGE(OFFSET($H$3,0,0,'Données projet'!$E$11+1,1))</f>
        <v>64.256756080189803</v>
      </c>
      <c r="BJ82" s="59">
        <f t="shared" si="92"/>
        <v>209.76343043971747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13.121638291928342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3.1125802632172207E-8</v>
      </c>
      <c r="BS82" s="22">
        <f t="shared" si="63"/>
        <v>13.121638323054144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514</v>
      </c>
      <c r="L83" s="12">
        <f>VLOOKUP(A83,'Données projet'!$A$35:$I$55,9,0)</f>
        <v>8.3000000000000007</v>
      </c>
      <c r="M83" s="12">
        <f t="array" ref="M83">INDEX(L:L,MIN(IF(ISNUMBER(L83:L279),ROW(L83:L279),"")))</f>
        <v>8.3000000000000007</v>
      </c>
      <c r="N83" s="13">
        <f>IF('Données projet'!$A$36&gt;35,N82+M83-V82,IF(A83&lt;'Données projet'!$A$36,$K$205^A83,IF(A83='Données projet'!$A$36,'Données projet'!$B$36,N82+M83-V82)))</f>
        <v>514.00000000000034</v>
      </c>
      <c r="O83" s="13">
        <f>N83*VLOOKUP('Données projet'!$B$9,Paramètres!$A$1:$I$89,3,0)*VLOOKUP('Données projet'!$B$9,Paramètres!$A$1:$I$89,5,0)</f>
        <v>287.32600000000019</v>
      </c>
      <c r="P83" s="13">
        <f t="shared" si="87"/>
        <v>68.512868389632118</v>
      </c>
      <c r="Q83" s="20">
        <f t="shared" si="54"/>
        <v>619.75269577860956</v>
      </c>
      <c r="R83" s="59">
        <f t="shared" si="55"/>
        <v>913.08602911194293</v>
      </c>
      <c r="S83" s="59">
        <f ca="1">AVERAGE(OFFSET($R$3,0,0,'Données projet'!$E$9+1,1))-AVERAGE(OFFSET($H$3,0,0,'Données projet'!$E$9+1,1))</f>
        <v>235.10258076192054</v>
      </c>
      <c r="T83" s="59">
        <f t="shared" si="88"/>
        <v>233.47316052603765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514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1.2727388145433118</v>
      </c>
      <c r="AA83" s="21">
        <f>EXP(-LN(2)/25)*AA82+(1-EXP(-LN(2)/25))/(LN(2)/25)*Calculateur!V83*Calculateur!X83*VLOOKUP('Données projet'!$B$9,Paramètres!$A$1:$I$89,3,0)*0.475*44/12</f>
        <v>4.6087211622006663</v>
      </c>
      <c r="AB83" s="21">
        <f>EXP(-LN(2)/2)*AB82+(1-EXP(-LN(2)/2))/(LN(2)/2)*V83*Y83*VLOOKUP('Données projet'!$B$9,Paramètres!$A$1:$I$89,3,0)*0.475*44/12</f>
        <v>7.1889405616128126E-7</v>
      </c>
      <c r="AC83" s="22">
        <f t="shared" si="57"/>
        <v>5.881460695638034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224</v>
      </c>
      <c r="AG83" s="12">
        <f>VLOOKUP(A83,'Données projet'!$A$61:$I$81,9,0)</f>
        <v>3.3</v>
      </c>
      <c r="AH83" s="12">
        <f t="array" ref="AH83">INDEX(AG:AG,MIN(IF(ISNUMBER(AG83:AG279),ROW(AG83:AG279),"")))</f>
        <v>3.3</v>
      </c>
      <c r="AI83" s="13">
        <f>IF('Données projet'!$A$62&gt;35,AI82+AH83-AQ82,IF(A83&lt;'Données projet'!$A$62,$AF$205^A83,IF(A83='Données projet'!$A$62,'Données projet'!$B$62,AI82+AH83-AQ82)))</f>
        <v>223.99999999999991</v>
      </c>
      <c r="AJ83" s="13">
        <f>AI83*VLOOKUP('Données projet'!$B$10,Paramètres!$A$1:$I$89,3,0)*VLOOKUP('Données projet'!$B$10,Paramètres!$A$1:$I$89,5,0)</f>
        <v>195.68639999999996</v>
      </c>
      <c r="AK83" s="13">
        <f t="shared" si="89"/>
        <v>48.794969360985156</v>
      </c>
      <c r="AL83" s="20">
        <f t="shared" si="58"/>
        <v>425.80505163704908</v>
      </c>
      <c r="AM83" s="59">
        <f t="shared" si="59"/>
        <v>719.13838497038239</v>
      </c>
      <c r="AN83" s="59">
        <f ca="1">AVERAGE(OFFSET($AM$3,0,0,'Données projet'!$E$10+1,1))-AVERAGE(OFFSET($H$3,0,0,'Données projet'!$E$10+1,1))</f>
        <v>191.94797389630673</v>
      </c>
      <c r="AO83" s="59">
        <f t="shared" si="90"/>
        <v>273.52540822767878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3.5120377620931222</v>
      </c>
      <c r="AW83" s="21">
        <f>EXP(-LN(2)/2)*AW82+(1-EXP(-LN(2)/2))/(LN(2)/2)*AQ83*AT83*VLOOKUP('Données projet'!$B$10,Paramètres!$A$1:$I$89,3,0)*0.475*44/12</f>
        <v>6.9150516151396556E-7</v>
      </c>
      <c r="AX83" s="21">
        <f t="shared" si="60"/>
        <v>4.4685209566490158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2.8421709430404007E-14</v>
      </c>
      <c r="BE83" s="13">
        <f>BD83*VLOOKUP('Données projet'!$B$11,Paramètres!$A$1:$I$89,3,0)*VLOOKUP('Données projet'!$B$11,Paramètres!$A$1:$I$89,5,0)</f>
        <v>1.8178525351686402E-14</v>
      </c>
      <c r="BF83" s="13">
        <f t="shared" si="91"/>
        <v>3.3304129621647644E-13</v>
      </c>
      <c r="BG83" s="20">
        <f t="shared" si="61"/>
        <v>6.1170785589788349E-13</v>
      </c>
      <c r="BH83" s="59">
        <f t="shared" si="62"/>
        <v>293.33333333333394</v>
      </c>
      <c r="BI83" s="59">
        <f ca="1">AVERAGE(OFFSET($BH$3,0,0,'Données projet'!$E$11+1,1))-AVERAGE(OFFSET($H$3,0,0,'Données projet'!$E$11+1,1))</f>
        <v>64.256756080189803</v>
      </c>
      <c r="BJ83" s="59">
        <f t="shared" si="92"/>
        <v>209.76343043971747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12.864330968432714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2.2009266111083058E-8</v>
      </c>
      <c r="BS83" s="22">
        <f t="shared" si="63"/>
        <v>12.86433099044198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235.10258076192054</v>
      </c>
      <c r="T84" s="59">
        <f t="shared" si="88"/>
        <v>233.47316052603765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1.2477811826841416</v>
      </c>
      <c r="AA84" s="21">
        <f>EXP(-LN(2)/25)*AA83+(1-EXP(-LN(2)/25))/(LN(2)/25)*Calculateur!V84*Calculateur!X84*VLOOKUP('Données projet'!$B$9,Paramètres!$A$1:$I$89,3,0)*0.475*44/12</f>
        <v>4.4826954396581762</v>
      </c>
      <c r="AB84" s="21">
        <f>EXP(-LN(2)/2)*AB83+(1-EXP(-LN(2)/2))/(LN(2)/2)*V84*Y84*VLOOKUP('Données projet'!$B$9,Paramètres!$A$1:$I$89,3,0)*0.475*44/12</f>
        <v>5.0833486206634471E-7</v>
      </c>
      <c r="AC84" s="22">
        <f t="shared" si="57"/>
        <v>5.7304771306771798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2.5</v>
      </c>
      <c r="AI84" s="13">
        <f>IF('Données projet'!$A$62&gt;35,AI83+AH84-AQ83,IF(A84&lt;'Données projet'!$A$62,$AF$205^A84,IF(A84='Données projet'!$A$62,'Données projet'!$B$62,AI83+AH84-AQ83)))</f>
        <v>202.49999999999991</v>
      </c>
      <c r="AJ84" s="13">
        <f>AI84*VLOOKUP('Données projet'!$B$10,Paramètres!$A$1:$I$89,3,0)*VLOOKUP('Données projet'!$B$10,Paramètres!$A$1:$I$89,5,0)</f>
        <v>176.90399999999994</v>
      </c>
      <c r="AK84" s="13">
        <f t="shared" si="89"/>
        <v>44.632689233663157</v>
      </c>
      <c r="AL84" s="20">
        <f t="shared" si="58"/>
        <v>385.84306708196317</v>
      </c>
      <c r="AM84" s="59">
        <f t="shared" si="59"/>
        <v>679.17640041529648</v>
      </c>
      <c r="AN84" s="59">
        <f ca="1">AVERAGE(OFFSET($AM$3,0,0,'Données projet'!$E$10+1,1))-AVERAGE(OFFSET($H$3,0,0,'Données projet'!$E$10+1,1))</f>
        <v>191.94797389630673</v>
      </c>
      <c r="AO84" s="59">
        <f t="shared" si="90"/>
        <v>273.52540822767878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3.4160009047986466</v>
      </c>
      <c r="AW84" s="21">
        <f>EXP(-LN(2)/2)*AW83+(1-EXP(-LN(2)/2))/(LN(2)/2)*AQ84*AT84*VLOOKUP('Données projet'!$B$10,Paramètres!$A$1:$I$89,3,0)*0.475*44/12</f>
        <v>4.8896798893202383E-7</v>
      </c>
      <c r="AX84" s="21">
        <f t="shared" si="60"/>
        <v>4.3537278583292638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2.8421709430404007E-14</v>
      </c>
      <c r="BE84" s="13">
        <f>BD84*VLOOKUP('Données projet'!$B$11,Paramètres!$A$1:$I$89,3,0)*VLOOKUP('Données projet'!$B$11,Paramètres!$A$1:$I$89,5,0)</f>
        <v>1.8178525351686402E-14</v>
      </c>
      <c r="BF84" s="13">
        <f t="shared" si="91"/>
        <v>3.3304129621647644E-13</v>
      </c>
      <c r="BG84" s="20">
        <f t="shared" si="61"/>
        <v>6.1170785589788349E-13</v>
      </c>
      <c r="BH84" s="59">
        <f t="shared" si="62"/>
        <v>293.33333333333394</v>
      </c>
      <c r="BI84" s="59">
        <f ca="1">AVERAGE(OFFSET($BH$3,0,0,'Données projet'!$E$11+1,1))-AVERAGE(OFFSET($H$3,0,0,'Données projet'!$E$11+1,1))</f>
        <v>64.256756080189803</v>
      </c>
      <c r="BJ84" s="59">
        <f t="shared" si="92"/>
        <v>209.76343043971747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12.612069284608864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1.5562901316086104E-8</v>
      </c>
      <c r="BS84" s="22">
        <f t="shared" si="63"/>
        <v>12.612069300171767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235.10258076192054</v>
      </c>
      <c r="T85" s="59">
        <f t="shared" si="88"/>
        <v>233.47316052603765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1.2233129547630774</v>
      </c>
      <c r="AA85" s="21">
        <f>EXP(-LN(2)/25)*AA84+(1-EXP(-LN(2)/25))/(LN(2)/25)*Calculateur!V85*Calculateur!X85*VLOOKUP('Données projet'!$B$9,Paramètres!$A$1:$I$89,3,0)*0.475*44/12</f>
        <v>4.3601158971260157</v>
      </c>
      <c r="AB85" s="21">
        <f>EXP(-LN(2)/2)*AB84+(1-EXP(-LN(2)/2))/(LN(2)/2)*V85*Y85*VLOOKUP('Données projet'!$B$9,Paramètres!$A$1:$I$89,3,0)*0.475*44/12</f>
        <v>3.5944702808064063E-7</v>
      </c>
      <c r="AC85" s="22">
        <f t="shared" si="57"/>
        <v>5.5834292113361208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2.5</v>
      </c>
      <c r="AI85" s="13">
        <f>IF('Données projet'!$A$62&gt;35,AI84+AH85-AQ84,IF(A85&lt;'Données projet'!$A$62,$AF$205^A85,IF(A85='Données projet'!$A$62,'Données projet'!$B$62,AI84+AH85-AQ84)))</f>
        <v>204.99999999999991</v>
      </c>
      <c r="AJ85" s="13">
        <f>AI85*VLOOKUP('Données projet'!$B$10,Paramètres!$A$1:$I$89,3,0)*VLOOKUP('Données projet'!$B$10,Paramètres!$A$1:$I$89,5,0)</f>
        <v>179.08799999999997</v>
      </c>
      <c r="AK85" s="13">
        <f t="shared" si="89"/>
        <v>45.119223023956835</v>
      </c>
      <c r="AL85" s="20">
        <f t="shared" si="58"/>
        <v>390.49424676672476</v>
      </c>
      <c r="AM85" s="59">
        <f t="shared" si="59"/>
        <v>683.82758010005807</v>
      </c>
      <c r="AN85" s="59">
        <f ca="1">AVERAGE(OFFSET($AM$3,0,0,'Données projet'!$E$10+1,1))-AVERAGE(OFFSET($H$3,0,0,'Données projet'!$E$10+1,1))</f>
        <v>191.94797389630673</v>
      </c>
      <c r="AO85" s="59">
        <f t="shared" si="90"/>
        <v>273.52540822767878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3.3225901804172473</v>
      </c>
      <c r="AW85" s="21">
        <f>EXP(-LN(2)/2)*AW84+(1-EXP(-LN(2)/2))/(LN(2)/2)*AQ85*AT85*VLOOKUP('Données projet'!$B$10,Paramètres!$A$1:$I$89,3,0)*0.475*44/12</f>
        <v>3.4575258075698278E-7</v>
      </c>
      <c r="AX85" s="21">
        <f t="shared" si="60"/>
        <v>4.2419287467190507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2.8421709430404007E-14</v>
      </c>
      <c r="BE85" s="13">
        <f>BD85*VLOOKUP('Données projet'!$B$11,Paramètres!$A$1:$I$89,3,0)*VLOOKUP('Données projet'!$B$11,Paramètres!$A$1:$I$89,5,0)</f>
        <v>1.8178525351686402E-14</v>
      </c>
      <c r="BF85" s="13">
        <f t="shared" si="91"/>
        <v>3.3304129621647644E-13</v>
      </c>
      <c r="BG85" s="20">
        <f t="shared" si="61"/>
        <v>6.1170785589788349E-13</v>
      </c>
      <c r="BH85" s="59">
        <f t="shared" si="62"/>
        <v>293.33333333333394</v>
      </c>
      <c r="BI85" s="59">
        <f ca="1">AVERAGE(OFFSET($BH$3,0,0,'Données projet'!$E$11+1,1))-AVERAGE(OFFSET($H$3,0,0,'Données projet'!$E$11+1,1))</f>
        <v>64.256756080189803</v>
      </c>
      <c r="BJ85" s="59">
        <f t="shared" si="92"/>
        <v>209.76343043971747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12.364754298540367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1.1004633055541529E-8</v>
      </c>
      <c r="BS85" s="22">
        <f t="shared" si="63"/>
        <v>12.364754309545001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235.10258076192054</v>
      </c>
      <c r="T86" s="59">
        <f t="shared" si="88"/>
        <v>233.47316052603765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1.1993245338673999</v>
      </c>
      <c r="AA86" s="21">
        <f>EXP(-LN(2)/25)*AA85+(1-EXP(-LN(2)/25))/(LN(2)/25)*Calculateur!V86*Calculateur!X86*VLOOKUP('Données projet'!$B$9,Paramètres!$A$1:$I$89,3,0)*0.475*44/12</f>
        <v>4.2408882986305745</v>
      </c>
      <c r="AB86" s="21">
        <f>EXP(-LN(2)/2)*AB85+(1-EXP(-LN(2)/2))/(LN(2)/2)*V86*Y86*VLOOKUP('Données projet'!$B$9,Paramètres!$A$1:$I$89,3,0)*0.475*44/12</f>
        <v>2.5416743103317236E-7</v>
      </c>
      <c r="AC86" s="22">
        <f t="shared" si="57"/>
        <v>5.4402130866654055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2.5</v>
      </c>
      <c r="AI86" s="13">
        <f>IF('Données projet'!$A$62&gt;35,AI85+AH86-AQ85,IF(A86&lt;'Données projet'!$A$62,$AF$205^A86,IF(A86='Données projet'!$A$62,'Données projet'!$B$62,AI85+AH86-AQ85)))</f>
        <v>207.49999999999991</v>
      </c>
      <c r="AJ86" s="13">
        <f>AI86*VLOOKUP('Données projet'!$B$10,Paramètres!$A$1:$I$89,3,0)*VLOOKUP('Données projet'!$B$10,Paramètres!$A$1:$I$89,5,0)</f>
        <v>181.27199999999993</v>
      </c>
      <c r="AK86" s="13">
        <f t="shared" si="89"/>
        <v>45.605066645465861</v>
      </c>
      <c r="AL86" s="20">
        <f t="shared" si="58"/>
        <v>395.14422440751952</v>
      </c>
      <c r="AM86" s="59">
        <f t="shared" si="59"/>
        <v>688.47755774085283</v>
      </c>
      <c r="AN86" s="59">
        <f ca="1">AVERAGE(OFFSET($AM$3,0,0,'Données projet'!$E$10+1,1))-AVERAGE(OFFSET($H$3,0,0,'Données projet'!$E$10+1,1))</f>
        <v>191.94797389630673</v>
      </c>
      <c r="AO86" s="59">
        <f t="shared" si="90"/>
        <v>273.52540822767878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3.2317337772063142</v>
      </c>
      <c r="AW86" s="21">
        <f>EXP(-LN(2)/2)*AW85+(1-EXP(-LN(2)/2))/(LN(2)/2)*AQ86*AT86*VLOOKUP('Données projet'!$B$10,Paramètres!$A$1:$I$89,3,0)*0.475*44/12</f>
        <v>2.4448399446601192E-7</v>
      </c>
      <c r="AX86" s="21">
        <f t="shared" si="60"/>
        <v>4.1330445804755076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2.8421709430404007E-14</v>
      </c>
      <c r="BE86" s="13">
        <f>BD86*VLOOKUP('Données projet'!$B$11,Paramètres!$A$1:$I$89,3,0)*VLOOKUP('Données projet'!$B$11,Paramètres!$A$1:$I$89,5,0)</f>
        <v>1.8178525351686402E-14</v>
      </c>
      <c r="BF86" s="13">
        <f t="shared" si="91"/>
        <v>3.3304129621647644E-13</v>
      </c>
      <c r="BG86" s="20">
        <f t="shared" si="61"/>
        <v>6.1170785589788349E-13</v>
      </c>
      <c r="BH86" s="59">
        <f t="shared" si="62"/>
        <v>293.33333333333394</v>
      </c>
      <c r="BI86" s="59">
        <f ca="1">AVERAGE(OFFSET($BH$3,0,0,'Données projet'!$E$11+1,1))-AVERAGE(OFFSET($H$3,0,0,'Données projet'!$E$11+1,1))</f>
        <v>64.256756080189803</v>
      </c>
      <c r="BJ86" s="59">
        <f t="shared" si="92"/>
        <v>209.76343043971747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12.122289008501426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7.7814506580430519E-9</v>
      </c>
      <c r="BS86" s="22">
        <f t="shared" si="63"/>
        <v>12.122289016282876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235.10258076192054</v>
      </c>
      <c r="T87" s="59">
        <f t="shared" si="88"/>
        <v>233.47316052603765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1.1758065112739946</v>
      </c>
      <c r="AA87" s="21">
        <f>EXP(-LN(2)/25)*AA86+(1-EXP(-LN(2)/25))/(LN(2)/25)*Calculateur!V87*Calculateur!X87*VLOOKUP('Données projet'!$B$9,Paramètres!$A$1:$I$89,3,0)*0.475*44/12</f>
        <v>4.1249209850858986</v>
      </c>
      <c r="AB87" s="21">
        <f>EXP(-LN(2)/2)*AB86+(1-EXP(-LN(2)/2))/(LN(2)/2)*V87*Y87*VLOOKUP('Données projet'!$B$9,Paramètres!$A$1:$I$89,3,0)*0.475*44/12</f>
        <v>1.7972351404032032E-7</v>
      </c>
      <c r="AC87" s="22">
        <f t="shared" si="57"/>
        <v>5.3007276760834072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2.5</v>
      </c>
      <c r="AI87" s="13">
        <f>IF('Données projet'!$A$62&gt;35,AI86+AH87-AQ86,IF(A87&lt;'Données projet'!$A$62,$AF$205^A87,IF(A87='Données projet'!$A$62,'Données projet'!$B$62,AI86+AH87-AQ86)))</f>
        <v>209.99999999999991</v>
      </c>
      <c r="AJ87" s="13">
        <f>AI87*VLOOKUP('Données projet'!$B$10,Paramètres!$A$1:$I$89,3,0)*VLOOKUP('Données projet'!$B$10,Paramètres!$A$1:$I$89,5,0)</f>
        <v>183.45599999999996</v>
      </c>
      <c r="AK87" s="13">
        <f t="shared" si="89"/>
        <v>46.090229375321108</v>
      </c>
      <c r="AL87" s="20">
        <f t="shared" si="58"/>
        <v>399.79301616201752</v>
      </c>
      <c r="AM87" s="59">
        <f t="shared" si="59"/>
        <v>693.12634949535084</v>
      </c>
      <c r="AN87" s="59">
        <f ca="1">AVERAGE(OFFSET($AM$3,0,0,'Données projet'!$E$10+1,1))-AVERAGE(OFFSET($H$3,0,0,'Données projet'!$E$10+1,1))</f>
        <v>191.94797389630673</v>
      </c>
      <c r="AO87" s="59">
        <f t="shared" si="90"/>
        <v>273.52540822767878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3.1433618471191145</v>
      </c>
      <c r="AW87" s="21">
        <f>EXP(-LN(2)/2)*AW86+(1-EXP(-LN(2)/2))/(LN(2)/2)*AQ87*AT87*VLOOKUP('Données projet'!$B$10,Paramètres!$A$1:$I$89,3,0)*0.475*44/12</f>
        <v>1.7287629037849139E-7</v>
      </c>
      <c r="AX87" s="21">
        <f t="shared" si="60"/>
        <v>4.0269984284679836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2.8421709430404007E-14</v>
      </c>
      <c r="BE87" s="13">
        <f>BD87*VLOOKUP('Données projet'!$B$11,Paramètres!$A$1:$I$89,3,0)*VLOOKUP('Données projet'!$B$11,Paramètres!$A$1:$I$89,5,0)</f>
        <v>1.8178525351686402E-14</v>
      </c>
      <c r="BF87" s="13">
        <f t="shared" si="91"/>
        <v>3.3304129621647644E-13</v>
      </c>
      <c r="BG87" s="20">
        <f t="shared" si="61"/>
        <v>6.1170785589788349E-13</v>
      </c>
      <c r="BH87" s="59">
        <f t="shared" si="62"/>
        <v>293.33333333333394</v>
      </c>
      <c r="BI87" s="59">
        <f ca="1">AVERAGE(OFFSET($BH$3,0,0,'Données projet'!$E$11+1,1))-AVERAGE(OFFSET($H$3,0,0,'Données projet'!$E$11+1,1))</f>
        <v>64.256756080189803</v>
      </c>
      <c r="BJ87" s="59">
        <f t="shared" si="92"/>
        <v>209.76343043971747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11.884578314910923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5.5023165277707645E-9</v>
      </c>
      <c r="BS87" s="22">
        <f t="shared" si="63"/>
        <v>11.88457832041324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235.10258076192054</v>
      </c>
      <c r="T88" s="59">
        <f t="shared" si="88"/>
        <v>233.47316052603765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1.1527496627590688</v>
      </c>
      <c r="AA88" s="21">
        <f>EXP(-LN(2)/25)*AA87+(1-EXP(-LN(2)/25))/(LN(2)/25)*Calculateur!V88*Calculateur!X88*VLOOKUP('Données projet'!$B$9,Paramètres!$A$1:$I$89,3,0)*0.475*44/12</f>
        <v>4.0121248038285575</v>
      </c>
      <c r="AB88" s="21">
        <f>EXP(-LN(2)/2)*AB87+(1-EXP(-LN(2)/2))/(LN(2)/2)*V88*Y88*VLOOKUP('Données projet'!$B$9,Paramètres!$A$1:$I$89,3,0)*0.475*44/12</f>
        <v>1.2708371551658618E-7</v>
      </c>
      <c r="AC88" s="22">
        <f t="shared" si="57"/>
        <v>5.1648745936713416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2.5</v>
      </c>
      <c r="AI88" s="13">
        <f>IF('Données projet'!$A$62&gt;35,AI87+AH88-AQ87,IF(A88&lt;'Données projet'!$A$62,$AF$205^A88,IF(A88='Données projet'!$A$62,'Données projet'!$B$62,AI87+AH88-AQ87)))</f>
        <v>212.49999999999991</v>
      </c>
      <c r="AJ88" s="13">
        <f>AI88*VLOOKUP('Données projet'!$B$10,Paramètres!$A$1:$I$89,3,0)*VLOOKUP('Données projet'!$B$10,Paramètres!$A$1:$I$89,5,0)</f>
        <v>185.63999999999993</v>
      </c>
      <c r="AK88" s="13">
        <f t="shared" si="89"/>
        <v>46.57472025705939</v>
      </c>
      <c r="AL88" s="20">
        <f t="shared" si="58"/>
        <v>404.44063778104493</v>
      </c>
      <c r="AM88" s="59">
        <f t="shared" si="59"/>
        <v>697.77397111437824</v>
      </c>
      <c r="AN88" s="59">
        <f ca="1">AVERAGE(OFFSET($AM$3,0,0,'Données projet'!$E$10+1,1))-AVERAGE(OFFSET($H$3,0,0,'Données projet'!$E$10+1,1))</f>
        <v>191.94797389630673</v>
      </c>
      <c r="AO88" s="59">
        <f t="shared" si="90"/>
        <v>273.52540822767878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3.0574064521074269</v>
      </c>
      <c r="AW88" s="21">
        <f>EXP(-LN(2)/2)*AW87+(1-EXP(-LN(2)/2))/(LN(2)/2)*AQ88*AT88*VLOOKUP('Données projet'!$B$10,Paramètres!$A$1:$I$89,3,0)*0.475*44/12</f>
        <v>1.2224199723300596E-7</v>
      </c>
      <c r="AX88" s="21">
        <f t="shared" si="60"/>
        <v>3.9237154118168465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2.8421709430404007E-14</v>
      </c>
      <c r="BE88" s="13">
        <f>BD88*VLOOKUP('Données projet'!$B$11,Paramètres!$A$1:$I$89,3,0)*VLOOKUP('Données projet'!$B$11,Paramètres!$A$1:$I$89,5,0)</f>
        <v>1.8178525351686402E-14</v>
      </c>
      <c r="BF88" s="13">
        <f t="shared" si="91"/>
        <v>3.3304129621647644E-13</v>
      </c>
      <c r="BG88" s="20">
        <f t="shared" si="61"/>
        <v>6.1170785589788349E-13</v>
      </c>
      <c r="BH88" s="59">
        <f t="shared" si="62"/>
        <v>293.33333333333394</v>
      </c>
      <c r="BI88" s="59">
        <f ca="1">AVERAGE(OFFSET($BH$3,0,0,'Données projet'!$E$11+1,1))-AVERAGE(OFFSET($H$3,0,0,'Données projet'!$E$11+1,1))</f>
        <v>64.256756080189803</v>
      </c>
      <c r="BJ88" s="59">
        <f t="shared" si="92"/>
        <v>209.76343043971747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11.651528983032525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3.8907253290215259E-9</v>
      </c>
      <c r="BS88" s="22">
        <f t="shared" si="63"/>
        <v>11.651528986923251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235.10258076192054</v>
      </c>
      <c r="T89" s="59">
        <f t="shared" si="88"/>
        <v>233.47316052603765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1.1301449449802317</v>
      </c>
      <c r="AA89" s="21">
        <f>EXP(-LN(2)/25)*AA88+(1-EXP(-LN(2)/25))/(LN(2)/25)*Calculateur!V89*Calculateur!X89*VLOOKUP('Données projet'!$B$9,Paramètres!$A$1:$I$89,3,0)*0.475*44/12</f>
        <v>3.9024130400793919</v>
      </c>
      <c r="AB89" s="21">
        <f>EXP(-LN(2)/2)*AB88+(1-EXP(-LN(2)/2))/(LN(2)/2)*V89*Y89*VLOOKUP('Données projet'!$B$9,Paramètres!$A$1:$I$89,3,0)*0.475*44/12</f>
        <v>8.9861757020160158E-8</v>
      </c>
      <c r="AC89" s="22">
        <f t="shared" si="57"/>
        <v>5.032558074921381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2.5</v>
      </c>
      <c r="AI89" s="13">
        <f>IF('Données projet'!$A$62&gt;35,AI88+AH89-AQ88,IF(A89&lt;'Données projet'!$A$62,$AF$205^A89,IF(A89='Données projet'!$A$62,'Données projet'!$B$62,AI88+AH89-AQ88)))</f>
        <v>214.99999999999991</v>
      </c>
      <c r="AJ89" s="13">
        <f>AI89*VLOOKUP('Données projet'!$B$10,Paramètres!$A$1:$I$89,3,0)*VLOOKUP('Données projet'!$B$10,Paramètres!$A$1:$I$89,5,0)</f>
        <v>187.82399999999996</v>
      </c>
      <c r="AK89" s="13">
        <f t="shared" si="89"/>
        <v>47.05854810918273</v>
      </c>
      <c r="AL89" s="20">
        <f t="shared" si="58"/>
        <v>409.08710462349313</v>
      </c>
      <c r="AM89" s="59">
        <f t="shared" si="59"/>
        <v>702.42043795682639</v>
      </c>
      <c r="AN89" s="59">
        <f ca="1">AVERAGE(OFFSET($AM$3,0,0,'Données projet'!$E$10+1,1))-AVERAGE(OFFSET($H$3,0,0,'Données projet'!$E$10+1,1))</f>
        <v>191.94797389630673</v>
      </c>
      <c r="AO89" s="59">
        <f t="shared" si="90"/>
        <v>273.52540822767878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2.9738015118925318</v>
      </c>
      <c r="AW89" s="21">
        <f>EXP(-LN(2)/2)*AW88+(1-EXP(-LN(2)/2))/(LN(2)/2)*AQ89*AT89*VLOOKUP('Données projet'!$B$10,Paramètres!$A$1:$I$89,3,0)*0.475*44/12</f>
        <v>8.6438145189245695E-8</v>
      </c>
      <c r="AX89" s="21">
        <f t="shared" si="60"/>
        <v>3.8231226478915792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2.8421709430404007E-14</v>
      </c>
      <c r="BE89" s="13">
        <f>BD89*VLOOKUP('Données projet'!$B$11,Paramètres!$A$1:$I$89,3,0)*VLOOKUP('Données projet'!$B$11,Paramètres!$A$1:$I$89,5,0)</f>
        <v>1.8178525351686402E-14</v>
      </c>
      <c r="BF89" s="13">
        <f t="shared" si="91"/>
        <v>3.3304129621647644E-13</v>
      </c>
      <c r="BG89" s="20">
        <f t="shared" si="61"/>
        <v>6.1170785589788349E-13</v>
      </c>
      <c r="BH89" s="59">
        <f t="shared" si="62"/>
        <v>293.33333333333394</v>
      </c>
      <c r="BI89" s="59">
        <f ca="1">AVERAGE(OFFSET($BH$3,0,0,'Données projet'!$E$11+1,1))-AVERAGE(OFFSET($H$3,0,0,'Données projet'!$E$11+1,1))</f>
        <v>64.256756080189803</v>
      </c>
      <c r="BJ89" s="59">
        <f t="shared" si="92"/>
        <v>209.76343043971747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11.423049606406206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2.7511582638853823E-9</v>
      </c>
      <c r="BS89" s="22">
        <f t="shared" si="63"/>
        <v>11.423049609157363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235.10258076192054</v>
      </c>
      <c r="T90" s="59">
        <f t="shared" si="88"/>
        <v>233.47316052603765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1.1079834919295211</v>
      </c>
      <c r="AA90" s="21">
        <f>EXP(-LN(2)/25)*AA89+(1-EXP(-LN(2)/25))/(LN(2)/25)*Calculateur!V90*Calculateur!X90*VLOOKUP('Données projet'!$B$9,Paramètres!$A$1:$I$89,3,0)*0.475*44/12</f>
        <v>3.7957013502794381</v>
      </c>
      <c r="AB90" s="21">
        <f>EXP(-LN(2)/2)*AB89+(1-EXP(-LN(2)/2))/(LN(2)/2)*V90*Y90*VLOOKUP('Données projet'!$B$9,Paramètres!$A$1:$I$89,3,0)*0.475*44/12</f>
        <v>6.3541857758293089E-8</v>
      </c>
      <c r="AC90" s="22">
        <f t="shared" si="57"/>
        <v>4.9036849057508167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2.5</v>
      </c>
      <c r="AI90" s="13">
        <f>IF('Données projet'!$A$62&gt;35,AI89+AH90-AQ89,IF(A90&lt;'Données projet'!$A$62,$AF$205^A90,IF(A90='Données projet'!$A$62,'Données projet'!$B$62,AI89+AH90-AQ89)))</f>
        <v>217.49999999999991</v>
      </c>
      <c r="AJ90" s="13">
        <f>AI90*VLOOKUP('Données projet'!$B$10,Paramètres!$A$1:$I$89,3,0)*VLOOKUP('Données projet'!$B$10,Paramètres!$A$1:$I$89,5,0)</f>
        <v>190.00799999999995</v>
      </c>
      <c r="AK90" s="13">
        <f t="shared" si="89"/>
        <v>47.541721533308163</v>
      </c>
      <c r="AL90" s="20">
        <f t="shared" si="58"/>
        <v>413.73243167051163</v>
      </c>
      <c r="AM90" s="59">
        <f t="shared" si="59"/>
        <v>707.06576500384494</v>
      </c>
      <c r="AN90" s="59">
        <f ca="1">AVERAGE(OFFSET($AM$3,0,0,'Données projet'!$E$10+1,1))-AVERAGE(OFFSET($H$3,0,0,'Données projet'!$E$10+1,1))</f>
        <v>191.94797389630673</v>
      </c>
      <c r="AO90" s="59">
        <f t="shared" si="90"/>
        <v>273.52540822767878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2.8924827531644057</v>
      </c>
      <c r="AW90" s="21">
        <f>EXP(-LN(2)/2)*AW89+(1-EXP(-LN(2)/2))/(LN(2)/2)*AQ90*AT90*VLOOKUP('Données projet'!$B$10,Paramètres!$A$1:$I$89,3,0)*0.475*44/12</f>
        <v>6.1120998616502979E-8</v>
      </c>
      <c r="AX90" s="21">
        <f t="shared" si="60"/>
        <v>3.7251491960991059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2.8421709430404007E-14</v>
      </c>
      <c r="BE90" s="13">
        <f>BD90*VLOOKUP('Données projet'!$B$11,Paramètres!$A$1:$I$89,3,0)*VLOOKUP('Données projet'!$B$11,Paramètres!$A$1:$I$89,5,0)</f>
        <v>1.8178525351686402E-14</v>
      </c>
      <c r="BF90" s="13">
        <f t="shared" si="91"/>
        <v>3.3304129621647644E-13</v>
      </c>
      <c r="BG90" s="20">
        <f t="shared" si="61"/>
        <v>6.1170785589788349E-13</v>
      </c>
      <c r="BH90" s="59">
        <f t="shared" si="62"/>
        <v>293.33333333333394</v>
      </c>
      <c r="BI90" s="59">
        <f ca="1">AVERAGE(OFFSET($BH$3,0,0,'Données projet'!$E$11+1,1))-AVERAGE(OFFSET($H$3,0,0,'Données projet'!$E$11+1,1))</f>
        <v>64.256756080189803</v>
      </c>
      <c r="BJ90" s="59">
        <f t="shared" si="92"/>
        <v>209.76343043971747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11.199050570996869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1.945362664510763E-9</v>
      </c>
      <c r="BS90" s="22">
        <f t="shared" si="63"/>
        <v>11.199050572942232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235.10258076192054</v>
      </c>
      <c r="T91" s="59">
        <f t="shared" si="88"/>
        <v>233.47316052603765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1.0862566114559833</v>
      </c>
      <c r="AA91" s="21">
        <f>EXP(-LN(2)/25)*AA90+(1-EXP(-LN(2)/25))/(LN(2)/25)*Calculateur!V91*Calculateur!X91*VLOOKUP('Données projet'!$B$9,Paramètres!$A$1:$I$89,3,0)*0.475*44/12</f>
        <v>3.6919076972487881</v>
      </c>
      <c r="AB91" s="21">
        <f>EXP(-LN(2)/2)*AB90+(1-EXP(-LN(2)/2))/(LN(2)/2)*V91*Y91*VLOOKUP('Données projet'!$B$9,Paramètres!$A$1:$I$89,3,0)*0.475*44/12</f>
        <v>4.4930878510080079E-8</v>
      </c>
      <c r="AC91" s="22">
        <f t="shared" si="57"/>
        <v>4.77816435363565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2.5</v>
      </c>
      <c r="AI91" s="13">
        <f>IF('Données projet'!$A$62&gt;35,AI90+AH91-AQ90,IF(A91&lt;'Données projet'!$A$62,$AF$205^A91,IF(A91='Données projet'!$A$62,'Données projet'!$B$62,AI90+AH91-AQ90)))</f>
        <v>219.99999999999991</v>
      </c>
      <c r="AJ91" s="13">
        <f>AI91*VLOOKUP('Données projet'!$B$10,Paramètres!$A$1:$I$89,3,0)*VLOOKUP('Données projet'!$B$10,Paramètres!$A$1:$I$89,5,0)</f>
        <v>192.19199999999995</v>
      </c>
      <c r="AK91" s="13">
        <f t="shared" si="89"/>
        <v>48.02424892193244</v>
      </c>
      <c r="AL91" s="20">
        <f t="shared" si="58"/>
        <v>418.37663353903218</v>
      </c>
      <c r="AM91" s="59">
        <f t="shared" si="59"/>
        <v>711.7099668723655</v>
      </c>
      <c r="AN91" s="59">
        <f ca="1">AVERAGE(OFFSET($AM$3,0,0,'Données projet'!$E$10+1,1))-AVERAGE(OFFSET($H$3,0,0,'Données projet'!$E$10+1,1))</f>
        <v>191.94797389630673</v>
      </c>
      <c r="AO91" s="59">
        <f t="shared" si="90"/>
        <v>273.52540822767878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2.813387660170068</v>
      </c>
      <c r="AW91" s="21">
        <f>EXP(-LN(2)/2)*AW90+(1-EXP(-LN(2)/2))/(LN(2)/2)*AQ91*AT91*VLOOKUP('Données projet'!$B$10,Paramètres!$A$1:$I$89,3,0)*0.475*44/12</f>
        <v>4.3219072594622848E-8</v>
      </c>
      <c r="AX91" s="21">
        <f t="shared" si="60"/>
        <v>3.6297260053318201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2.8421709430404007E-14</v>
      </c>
      <c r="BE91" s="13">
        <f>BD91*VLOOKUP('Données projet'!$B$11,Paramètres!$A$1:$I$89,3,0)*VLOOKUP('Données projet'!$B$11,Paramètres!$A$1:$I$89,5,0)</f>
        <v>1.8178525351686402E-14</v>
      </c>
      <c r="BF91" s="13">
        <f t="shared" si="91"/>
        <v>3.3304129621647644E-13</v>
      </c>
      <c r="BG91" s="20">
        <f t="shared" si="61"/>
        <v>6.1170785589788349E-13</v>
      </c>
      <c r="BH91" s="59">
        <f t="shared" si="62"/>
        <v>293.33333333333394</v>
      </c>
      <c r="BI91" s="59">
        <f ca="1">AVERAGE(OFFSET($BH$3,0,0,'Données projet'!$E$11+1,1))-AVERAGE(OFFSET($H$3,0,0,'Données projet'!$E$11+1,1))</f>
        <v>64.256756080189803</v>
      </c>
      <c r="BJ91" s="59">
        <f t="shared" si="92"/>
        <v>209.76343043971747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10.979444020045989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1.3755791319426911E-9</v>
      </c>
      <c r="BS91" s="22">
        <f t="shared" si="63"/>
        <v>10.979444021421568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235.10258076192054</v>
      </c>
      <c r="T92" s="59">
        <f t="shared" si="88"/>
        <v>233.47316052603765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1.064955781856443</v>
      </c>
      <c r="AA92" s="21">
        <f>EXP(-LN(2)/25)*AA91+(1-EXP(-LN(2)/25))/(LN(2)/25)*Calculateur!V92*Calculateur!X92*VLOOKUP('Données projet'!$B$9,Paramètres!$A$1:$I$89,3,0)*0.475*44/12</f>
        <v>3.5909522871185322</v>
      </c>
      <c r="AB92" s="21">
        <f>EXP(-LN(2)/2)*AB91+(1-EXP(-LN(2)/2))/(LN(2)/2)*V92*Y92*VLOOKUP('Données projet'!$B$9,Paramètres!$A$1:$I$89,3,0)*0.475*44/12</f>
        <v>3.1770928879146544E-8</v>
      </c>
      <c r="AC92" s="22">
        <f t="shared" si="57"/>
        <v>4.6559081007459042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2.5</v>
      </c>
      <c r="AI92" s="13">
        <f>IF('Données projet'!$A$62&gt;35,AI91+AH92-AQ91,IF(A92&lt;'Données projet'!$A$62,$AF$205^A92,IF(A92='Données projet'!$A$62,'Données projet'!$B$62,AI91+AH92-AQ91)))</f>
        <v>222.49999999999991</v>
      </c>
      <c r="AJ92" s="13">
        <f>AI92*VLOOKUP('Données projet'!$B$10,Paramètres!$A$1:$I$89,3,0)*VLOOKUP('Données projet'!$B$10,Paramètres!$A$1:$I$89,5,0)</f>
        <v>194.37599999999995</v>
      </c>
      <c r="AK92" s="13">
        <f t="shared" si="89"/>
        <v>48.506138465833089</v>
      </c>
      <c r="AL92" s="20">
        <f t="shared" si="58"/>
        <v>423.01972449465916</v>
      </c>
      <c r="AM92" s="59">
        <f t="shared" si="59"/>
        <v>716.35305782799242</v>
      </c>
      <c r="AN92" s="59">
        <f ca="1">AVERAGE(OFFSET($AM$3,0,0,'Données projet'!$E$10+1,1))-AVERAGE(OFFSET($H$3,0,0,'Données projet'!$E$10+1,1))</f>
        <v>191.94797389630673</v>
      </c>
      <c r="AO92" s="59">
        <f t="shared" si="90"/>
        <v>273.52540822767878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2.7364554266530905</v>
      </c>
      <c r="AW92" s="21">
        <f>EXP(-LN(2)/2)*AW91+(1-EXP(-LN(2)/2))/(LN(2)/2)*AQ92*AT92*VLOOKUP('Données projet'!$B$10,Paramètres!$A$1:$I$89,3,0)*0.475*44/12</f>
        <v>3.056049930825149E-8</v>
      </c>
      <c r="AX92" s="21">
        <f t="shared" si="60"/>
        <v>3.5367858629723723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2.8421709430404007E-14</v>
      </c>
      <c r="BE92" s="13">
        <f>BD92*VLOOKUP('Données projet'!$B$11,Paramètres!$A$1:$I$89,3,0)*VLOOKUP('Données projet'!$B$11,Paramètres!$A$1:$I$89,5,0)</f>
        <v>1.8178525351686402E-14</v>
      </c>
      <c r="BF92" s="13">
        <f t="shared" si="91"/>
        <v>3.3304129621647644E-13</v>
      </c>
      <c r="BG92" s="20">
        <f t="shared" si="61"/>
        <v>6.1170785589788349E-13</v>
      </c>
      <c r="BH92" s="59">
        <f t="shared" si="62"/>
        <v>293.33333333333394</v>
      </c>
      <c r="BI92" s="59">
        <f ca="1">AVERAGE(OFFSET($BH$3,0,0,'Données projet'!$E$11+1,1))-AVERAGE(OFFSET($H$3,0,0,'Données projet'!$E$11+1,1))</f>
        <v>64.256756080189803</v>
      </c>
      <c r="BJ92" s="59">
        <f t="shared" si="92"/>
        <v>209.76343043971747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10.764143819612485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9.7268133225538148E-10</v>
      </c>
      <c r="BS92" s="22">
        <f t="shared" si="63"/>
        <v>10.764143820585167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235.10258076192054</v>
      </c>
      <c r="T93" s="59">
        <f t="shared" si="88"/>
        <v>233.47316052603765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1.0440726485331264</v>
      </c>
      <c r="AA93" s="21">
        <f>EXP(-LN(2)/25)*AA92+(1-EXP(-LN(2)/25))/(LN(2)/25)*Calculateur!V93*Calculateur!X93*VLOOKUP('Données projet'!$B$9,Paramètres!$A$1:$I$89,3,0)*0.475*44/12</f>
        <v>3.4927575079873026</v>
      </c>
      <c r="AB93" s="21">
        <f>EXP(-LN(2)/2)*AB92+(1-EXP(-LN(2)/2))/(LN(2)/2)*V93*Y93*VLOOKUP('Données projet'!$B$9,Paramètres!$A$1:$I$89,3,0)*0.475*44/12</f>
        <v>2.2465439255040039E-8</v>
      </c>
      <c r="AC93" s="22">
        <f t="shared" si="57"/>
        <v>4.536830178985868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225</v>
      </c>
      <c r="AG93" s="12">
        <f>VLOOKUP(A93,'Données projet'!$A$61:$I$81,9,0)</f>
        <v>2.5</v>
      </c>
      <c r="AH93" s="12">
        <f t="array" ref="AH93">INDEX(AG:AG,MIN(IF(ISNUMBER(AG93:AG289),ROW(AG93:AG289),"")))</f>
        <v>2.5</v>
      </c>
      <c r="AI93" s="13">
        <f>IF('Données projet'!$A$62&gt;35,AI92+AH93-AQ92,IF(A93&lt;'Données projet'!$A$62,$AF$205^A93,IF(A93='Données projet'!$A$62,'Données projet'!$B$62,AI92+AH93-AQ92)))</f>
        <v>224.99999999999991</v>
      </c>
      <c r="AJ93" s="13">
        <f>AI93*VLOOKUP('Données projet'!$B$10,Paramètres!$A$1:$I$89,3,0)*VLOOKUP('Données projet'!$B$10,Paramètres!$A$1:$I$89,5,0)</f>
        <v>196.55999999999995</v>
      </c>
      <c r="AK93" s="13">
        <f t="shared" si="89"/>
        <v>48.987398161128091</v>
      </c>
      <c r="AL93" s="20">
        <f t="shared" si="58"/>
        <v>427.66171846396463</v>
      </c>
      <c r="AM93" s="59">
        <f t="shared" si="59"/>
        <v>720.99505179729795</v>
      </c>
      <c r="AN93" s="59">
        <f ca="1">AVERAGE(OFFSET($AM$3,0,0,'Données projet'!$E$10+1,1))-AVERAGE(OFFSET($H$3,0,0,'Données projet'!$E$10+1,1))</f>
        <v>191.94797389630673</v>
      </c>
      <c r="AO93" s="59">
        <f t="shared" si="90"/>
        <v>273.52540822767878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225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2.661626909107325</v>
      </c>
      <c r="AW93" s="21">
        <f>EXP(-LN(2)/2)*AW92+(1-EXP(-LN(2)/2))/(LN(2)/2)*AQ93*AT93*VLOOKUP('Données projet'!$B$10,Paramètres!$A$1:$I$89,3,0)*0.475*44/12</f>
        <v>2.1609536297311424E-8</v>
      </c>
      <c r="AX93" s="21">
        <f t="shared" si="60"/>
        <v>3.4462633453720604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2.8421709430404007E-14</v>
      </c>
      <c r="BE93" s="13">
        <f>BD93*VLOOKUP('Données projet'!$B$11,Paramètres!$A$1:$I$89,3,0)*VLOOKUP('Données projet'!$B$11,Paramètres!$A$1:$I$89,5,0)</f>
        <v>1.8178525351686402E-14</v>
      </c>
      <c r="BF93" s="13">
        <f t="shared" si="91"/>
        <v>3.3304129621647644E-13</v>
      </c>
      <c r="BG93" s="20">
        <f t="shared" si="61"/>
        <v>6.1170785589788349E-13</v>
      </c>
      <c r="BH93" s="59">
        <f t="shared" si="62"/>
        <v>293.33333333333394</v>
      </c>
      <c r="BI93" s="59">
        <f ca="1">AVERAGE(OFFSET($BH$3,0,0,'Données projet'!$E$11+1,1))-AVERAGE(OFFSET($H$3,0,0,'Données projet'!$E$11+1,1))</f>
        <v>64.256756080189803</v>
      </c>
      <c r="BJ93" s="59">
        <f t="shared" si="92"/>
        <v>209.76343043971747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10.553065524789327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6.8778956597134556E-10</v>
      </c>
      <c r="BS93" s="22">
        <f t="shared" si="63"/>
        <v>10.553065525477116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235.10258076192054</v>
      </c>
      <c r="T94" s="59">
        <f t="shared" si="88"/>
        <v>233.47316052603765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1.0235990207168266</v>
      </c>
      <c r="AA94" s="21">
        <f>EXP(-LN(2)/25)*AA93+(1-EXP(-LN(2)/25))/(LN(2)/25)*Calculateur!V94*Calculateur!X94*VLOOKUP('Données projet'!$B$9,Paramètres!$A$1:$I$89,3,0)*0.475*44/12</f>
        <v>3.3972478702552551</v>
      </c>
      <c r="AB94" s="21">
        <f>EXP(-LN(2)/2)*AB93+(1-EXP(-LN(2)/2))/(LN(2)/2)*V94*Y94*VLOOKUP('Données projet'!$B$9,Paramètres!$A$1:$I$89,3,0)*0.475*44/12</f>
        <v>1.5885464439573272E-8</v>
      </c>
      <c r="AC94" s="22">
        <f t="shared" si="57"/>
        <v>4.4208469068575464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-7.4487616075202836E-14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191.94797389630673</v>
      </c>
      <c r="AO94" s="59">
        <f t="shared" si="90"/>
        <v>273.52540822767878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2.5888445813089094</v>
      </c>
      <c r="AW94" s="21">
        <f>EXP(-LN(2)/2)*AW93+(1-EXP(-LN(2)/2))/(LN(2)/2)*AQ94*AT94*VLOOKUP('Données projet'!$B$10,Paramètres!$A$1:$I$89,3,0)*0.475*44/12</f>
        <v>1.5280249654125745E-8</v>
      </c>
      <c r="AX94" s="21">
        <f t="shared" si="60"/>
        <v>3.3580947697339263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2.8421709430404007E-14</v>
      </c>
      <c r="BE94" s="13">
        <f>BD94*VLOOKUP('Données projet'!$B$11,Paramètres!$A$1:$I$89,3,0)*VLOOKUP('Données projet'!$B$11,Paramètres!$A$1:$I$89,5,0)</f>
        <v>1.8178525351686402E-14</v>
      </c>
      <c r="BF94" s="13">
        <f t="shared" si="91"/>
        <v>3.3304129621647644E-13</v>
      </c>
      <c r="BG94" s="20">
        <f t="shared" si="61"/>
        <v>6.1170785589788349E-13</v>
      </c>
      <c r="BH94" s="59">
        <f t="shared" si="62"/>
        <v>293.33333333333394</v>
      </c>
      <c r="BI94" s="59">
        <f ca="1">AVERAGE(OFFSET($BH$3,0,0,'Données projet'!$E$11+1,1))-AVERAGE(OFFSET($H$3,0,0,'Données projet'!$E$11+1,1))</f>
        <v>64.256756080189803</v>
      </c>
      <c r="BJ94" s="59">
        <f t="shared" si="92"/>
        <v>209.76343043971747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10.346126346582604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4.8634066612769074E-10</v>
      </c>
      <c r="BS94" s="22">
        <f t="shared" si="63"/>
        <v>10.346126347068944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235.10258076192054</v>
      </c>
      <c r="T95" s="59">
        <f t="shared" si="88"/>
        <v>233.47316052603765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1.0035268682543244</v>
      </c>
      <c r="AA95" s="21">
        <f>EXP(-LN(2)/25)*AA94+(1-EXP(-LN(2)/25))/(LN(2)/25)*Calculateur!V95*Calculateur!X95*VLOOKUP('Données projet'!$B$9,Paramètres!$A$1:$I$89,3,0)*0.475*44/12</f>
        <v>3.3043499485896244</v>
      </c>
      <c r="AB95" s="21">
        <f>EXP(-LN(2)/2)*AB94+(1-EXP(-LN(2)/2))/(LN(2)/2)*V95*Y95*VLOOKUP('Données projet'!$B$9,Paramètres!$A$1:$I$89,3,0)*0.475*44/12</f>
        <v>1.123271962752002E-8</v>
      </c>
      <c r="AC95" s="22">
        <f t="shared" si="57"/>
        <v>4.3078768280766688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-7.4487616075202836E-14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191.94797389630673</v>
      </c>
      <c r="AO95" s="59">
        <f t="shared" si="90"/>
        <v>273.52540822767878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2.5180524900915975</v>
      </c>
      <c r="AW95" s="21">
        <f>EXP(-LN(2)/2)*AW94+(1-EXP(-LN(2)/2))/(LN(2)/2)*AQ95*AT95*VLOOKUP('Données projet'!$B$10,Paramètres!$A$1:$I$89,3,0)*0.475*44/12</f>
        <v>1.0804768148655712E-8</v>
      </c>
      <c r="AX95" s="21">
        <f t="shared" si="60"/>
        <v>3.2722181473420404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2.8421709430404007E-14</v>
      </c>
      <c r="BE95" s="13">
        <f>BD95*VLOOKUP('Données projet'!$B$11,Paramètres!$A$1:$I$89,3,0)*VLOOKUP('Données projet'!$B$11,Paramètres!$A$1:$I$89,5,0)</f>
        <v>1.8178525351686402E-14</v>
      </c>
      <c r="BF95" s="13">
        <f t="shared" si="91"/>
        <v>3.3304129621647644E-13</v>
      </c>
      <c r="BG95" s="20">
        <f t="shared" si="61"/>
        <v>6.1170785589788349E-13</v>
      </c>
      <c r="BH95" s="59">
        <f t="shared" si="62"/>
        <v>293.33333333333394</v>
      </c>
      <c r="BI95" s="59">
        <f ca="1">AVERAGE(OFFSET($BH$3,0,0,'Données projet'!$E$11+1,1))-AVERAGE(OFFSET($H$3,0,0,'Données projet'!$E$11+1,1))</f>
        <v>64.256756080189803</v>
      </c>
      <c r="BJ95" s="59">
        <f t="shared" si="92"/>
        <v>209.76343043971747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10.143245119440079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3.4389478298567278E-10</v>
      </c>
      <c r="BS95" s="22">
        <f t="shared" si="63"/>
        <v>10.143245119783975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235.10258076192054</v>
      </c>
      <c r="T96" s="59">
        <f t="shared" si="88"/>
        <v>233.47316052603765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0.98384831845880771</v>
      </c>
      <c r="AA96" s="21">
        <f>EXP(-LN(2)/25)*AA95+(1-EXP(-LN(2)/25))/(LN(2)/25)*Calculateur!V96*Calculateur!X96*VLOOKUP('Données projet'!$B$9,Paramètres!$A$1:$I$89,3,0)*0.475*44/12</f>
        <v>3.2139923254772294</v>
      </c>
      <c r="AB96" s="21">
        <f>EXP(-LN(2)/2)*AB95+(1-EXP(-LN(2)/2))/(LN(2)/2)*V96*Y96*VLOOKUP('Données projet'!$B$9,Paramètres!$A$1:$I$89,3,0)*0.475*44/12</f>
        <v>7.9427322197866361E-9</v>
      </c>
      <c r="AC96" s="22">
        <f t="shared" si="57"/>
        <v>4.197840651878769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-7.4487616075202836E-14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191.94797389630673</v>
      </c>
      <c r="AO96" s="59">
        <f t="shared" si="90"/>
        <v>273.52540822767878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2.4491962123314175</v>
      </c>
      <c r="AW96" s="21">
        <f>EXP(-LN(2)/2)*AW95+(1-EXP(-LN(2)/2))/(LN(2)/2)*AQ96*AT96*VLOOKUP('Données projet'!$B$10,Paramètres!$A$1:$I$89,3,0)*0.475*44/12</f>
        <v>7.6401248270628724E-9</v>
      </c>
      <c r="AX96" s="21">
        <f t="shared" si="60"/>
        <v>3.1885731380860411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2.8421709430404007E-14</v>
      </c>
      <c r="BE96" s="13">
        <f>BD96*VLOOKUP('Données projet'!$B$11,Paramètres!$A$1:$I$89,3,0)*VLOOKUP('Données projet'!$B$11,Paramètres!$A$1:$I$89,5,0)</f>
        <v>1.8178525351686402E-14</v>
      </c>
      <c r="BF96" s="13">
        <f t="shared" si="91"/>
        <v>3.3304129621647644E-13</v>
      </c>
      <c r="BG96" s="20">
        <f t="shared" si="61"/>
        <v>6.1170785589788349E-13</v>
      </c>
      <c r="BH96" s="59">
        <f t="shared" si="62"/>
        <v>293.33333333333394</v>
      </c>
      <c r="BI96" s="59">
        <f ca="1">AVERAGE(OFFSET($BH$3,0,0,'Données projet'!$E$11+1,1))-AVERAGE(OFFSET($H$3,0,0,'Données projet'!$E$11+1,1))</f>
        <v>64.256756080189803</v>
      </c>
      <c r="BJ96" s="59">
        <f t="shared" si="92"/>
        <v>209.76343043971747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9.9443422694164898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2.4317033306384537E-10</v>
      </c>
      <c r="BS96" s="22">
        <f t="shared" si="63"/>
        <v>9.9443422696596606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235.10258076192054</v>
      </c>
      <c r="T97" s="59">
        <f t="shared" si="88"/>
        <v>233.47316052603765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0.96455565302205093</v>
      </c>
      <c r="AA97" s="21">
        <f>EXP(-LN(2)/25)*AA96+(1-EXP(-LN(2)/25))/(LN(2)/25)*Calculateur!V97*Calculateur!X97*VLOOKUP('Données projet'!$B$9,Paramètres!$A$1:$I$89,3,0)*0.475*44/12</f>
        <v>3.1261055363205439</v>
      </c>
      <c r="AB97" s="21">
        <f>EXP(-LN(2)/2)*AB96+(1-EXP(-LN(2)/2))/(LN(2)/2)*V97*Y97*VLOOKUP('Données projet'!$B$9,Paramètres!$A$1:$I$89,3,0)*0.475*44/12</f>
        <v>5.6163598137600099E-9</v>
      </c>
      <c r="AC97" s="22">
        <f t="shared" si="57"/>
        <v>4.0906611949589546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-7.4487616075202836E-14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191.94797389630673</v>
      </c>
      <c r="AO97" s="59">
        <f t="shared" si="90"/>
        <v>273.52540822767878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2.382222813107584</v>
      </c>
      <c r="AW97" s="21">
        <f>EXP(-LN(2)/2)*AW96+(1-EXP(-LN(2)/2))/(LN(2)/2)*AQ97*AT97*VLOOKUP('Données projet'!$B$10,Paramètres!$A$1:$I$89,3,0)*0.475*44/12</f>
        <v>5.402384074327856E-9</v>
      </c>
      <c r="AX97" s="21">
        <f t="shared" si="60"/>
        <v>3.1071010062356312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2.8421709430404007E-14</v>
      </c>
      <c r="BE97" s="13">
        <f>BD97*VLOOKUP('Données projet'!$B$11,Paramètres!$A$1:$I$89,3,0)*VLOOKUP('Données projet'!$B$11,Paramètres!$A$1:$I$89,5,0)</f>
        <v>1.8178525351686402E-14</v>
      </c>
      <c r="BF97" s="13">
        <f t="shared" si="91"/>
        <v>3.3304129621647644E-13</v>
      </c>
      <c r="BG97" s="20">
        <f t="shared" si="61"/>
        <v>6.1170785589788349E-13</v>
      </c>
      <c r="BH97" s="59">
        <f t="shared" si="62"/>
        <v>293.33333333333394</v>
      </c>
      <c r="BI97" s="59">
        <f ca="1">AVERAGE(OFFSET($BH$3,0,0,'Données projet'!$E$11+1,1))-AVERAGE(OFFSET($H$3,0,0,'Données projet'!$E$11+1,1))</f>
        <v>64.256756080189803</v>
      </c>
      <c r="BJ97" s="59">
        <f t="shared" si="92"/>
        <v>209.76343043971747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9.7493397829631032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1.7194739149283639E-10</v>
      </c>
      <c r="BS97" s="22">
        <f t="shared" si="63"/>
        <v>9.749339783135051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235.10258076192054</v>
      </c>
      <c r="T98" s="59">
        <f t="shared" si="88"/>
        <v>233.47316052603765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0.94564130498714505</v>
      </c>
      <c r="AA98" s="21">
        <f>EXP(-LN(2)/25)*AA97+(1-EXP(-LN(2)/25))/(LN(2)/25)*Calculateur!V98*Calculateur!X98*VLOOKUP('Données projet'!$B$9,Paramètres!$A$1:$I$89,3,0)*0.475*44/12</f>
        <v>3.0406220160351132</v>
      </c>
      <c r="AB98" s="21">
        <f>EXP(-LN(2)/2)*AB97+(1-EXP(-LN(2)/2))/(LN(2)/2)*V98*Y98*VLOOKUP('Données projet'!$B$9,Paramètres!$A$1:$I$89,3,0)*0.475*44/12</f>
        <v>3.971366109893318E-9</v>
      </c>
      <c r="AC98" s="22">
        <f t="shared" si="57"/>
        <v>3.9862633249936241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-7.4487616075202836E-14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191.94797389630673</v>
      </c>
      <c r="AO98" s="59">
        <f t="shared" si="90"/>
        <v>273.52540822767878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2.317080805007504</v>
      </c>
      <c r="AW98" s="21">
        <f>EXP(-LN(2)/2)*AW97+(1-EXP(-LN(2)/2))/(LN(2)/2)*AQ98*AT98*VLOOKUP('Données projet'!$B$10,Paramètres!$A$1:$I$89,3,0)*0.475*44/12</f>
        <v>3.8200624135314362E-9</v>
      </c>
      <c r="AX98" s="21">
        <f t="shared" si="60"/>
        <v>3.0277445774239671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2.8421709430404007E-14</v>
      </c>
      <c r="BE98" s="13">
        <f>BD98*VLOOKUP('Données projet'!$B$11,Paramètres!$A$1:$I$89,3,0)*VLOOKUP('Données projet'!$B$11,Paramètres!$A$1:$I$89,5,0)</f>
        <v>1.8178525351686402E-14</v>
      </c>
      <c r="BF98" s="13">
        <f t="shared" si="91"/>
        <v>3.3304129621647644E-13</v>
      </c>
      <c r="BG98" s="20">
        <f t="shared" si="61"/>
        <v>6.1170785589788349E-13</v>
      </c>
      <c r="BH98" s="59">
        <f t="shared" si="62"/>
        <v>293.33333333333394</v>
      </c>
      <c r="BI98" s="59">
        <f ca="1">AVERAGE(OFFSET($BH$3,0,0,'Données projet'!$E$11+1,1))-AVERAGE(OFFSET($H$3,0,0,'Données projet'!$E$11+1,1))</f>
        <v>64.256756080189803</v>
      </c>
      <c r="BJ98" s="59">
        <f t="shared" si="92"/>
        <v>209.76343043971747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9.5581611763292944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1.2158516653192269E-10</v>
      </c>
      <c r="BS98" s="22">
        <f t="shared" si="63"/>
        <v>9.5581611764508789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235.10258076192054</v>
      </c>
      <c r="T99" s="59">
        <f t="shared" si="88"/>
        <v>233.47316052603765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0.92709785578059045</v>
      </c>
      <c r="AA99" s="21">
        <f>EXP(-LN(2)/25)*AA98+(1-EXP(-LN(2)/25))/(LN(2)/25)*Calculateur!V99*Calculateur!X99*VLOOKUP('Données projet'!$B$9,Paramètres!$A$1:$I$89,3,0)*0.475*44/12</f>
        <v>2.9574760471072707</v>
      </c>
      <c r="AB99" s="21">
        <f>EXP(-LN(2)/2)*AB98+(1-EXP(-LN(2)/2))/(LN(2)/2)*V99*Y99*VLOOKUP('Données projet'!$B$9,Paramètres!$A$1:$I$89,3,0)*0.475*44/12</f>
        <v>2.8081799068800049E-9</v>
      </c>
      <c r="AC99" s="22">
        <f t="shared" si="57"/>
        <v>3.8845739056960409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-7.4487616075202836E-14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191.94797389630673</v>
      </c>
      <c r="AO99" s="59">
        <f t="shared" si="90"/>
        <v>273.52540822767878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2.2537201085445902</v>
      </c>
      <c r="AW99" s="21">
        <f>EXP(-LN(2)/2)*AW98+(1-EXP(-LN(2)/2))/(LN(2)/2)*AQ99*AT99*VLOOKUP('Données projet'!$B$10,Paramètres!$A$1:$I$89,3,0)*0.475*44/12</f>
        <v>2.701192037163928E-9</v>
      </c>
      <c r="AX99" s="21">
        <f t="shared" si="60"/>
        <v>2.9504481968021055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2.8421709430404007E-14</v>
      </c>
      <c r="BE99" s="13">
        <f>BD99*VLOOKUP('Données projet'!$B$11,Paramètres!$A$1:$I$89,3,0)*VLOOKUP('Données projet'!$B$11,Paramètres!$A$1:$I$89,5,0)</f>
        <v>1.8178525351686402E-14</v>
      </c>
      <c r="BF99" s="13">
        <f t="shared" si="91"/>
        <v>3.3304129621647644E-13</v>
      </c>
      <c r="BG99" s="20">
        <f t="shared" si="61"/>
        <v>6.1170785589788349E-13</v>
      </c>
      <c r="BH99" s="59">
        <f t="shared" si="62"/>
        <v>293.33333333333394</v>
      </c>
      <c r="BI99" s="59">
        <f ca="1">AVERAGE(OFFSET($BH$3,0,0,'Données projet'!$E$11+1,1))-AVERAGE(OFFSET($H$3,0,0,'Données projet'!$E$11+1,1))</f>
        <v>64.256756080189803</v>
      </c>
      <c r="BJ99" s="59">
        <f t="shared" si="92"/>
        <v>209.76343043971747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9.3707314655641394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8.5973695746418196E-11</v>
      </c>
      <c r="BS99" s="22">
        <f t="shared" si="63"/>
        <v>9.3707314656501133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235.10258076192054</v>
      </c>
      <c r="T100" s="59">
        <f t="shared" si="88"/>
        <v>233.47316052603765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0.90891803230258916</v>
      </c>
      <c r="AA100" s="21">
        <f>EXP(-LN(2)/25)*AA99+(1-EXP(-LN(2)/25))/(LN(2)/25)*Calculateur!V100*Calculateur!X100*VLOOKUP('Données projet'!$B$9,Paramètres!$A$1:$I$89,3,0)*0.475*44/12</f>
        <v>2.8766037090722163</v>
      </c>
      <c r="AB100" s="21">
        <f>EXP(-LN(2)/2)*AB99+(1-EXP(-LN(2)/2))/(LN(2)/2)*V100*Y100*VLOOKUP('Données projet'!$B$9,Paramètres!$A$1:$I$89,3,0)*0.475*44/12</f>
        <v>1.985683054946659E-9</v>
      </c>
      <c r="AC100" s="22">
        <f t="shared" si="57"/>
        <v>3.7855217433604884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-7.4487616075202836E-14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191.94797389630673</v>
      </c>
      <c r="AO100" s="59">
        <f t="shared" si="90"/>
        <v>273.52540822767878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2.1920920136584487</v>
      </c>
      <c r="AW100" s="21">
        <f>EXP(-LN(2)/2)*AW99+(1-EXP(-LN(2)/2))/(LN(2)/2)*AQ100*AT100*VLOOKUP('Données projet'!$B$10,Paramètres!$A$1:$I$89,3,0)*0.475*44/12</f>
        <v>1.9100312067657181E-9</v>
      </c>
      <c r="AX100" s="21">
        <f t="shared" si="60"/>
        <v>2.8751576883292143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2.8421709430404007E-14</v>
      </c>
      <c r="BE100" s="13">
        <f>BD100*VLOOKUP('Données projet'!$B$11,Paramètres!$A$1:$I$89,3,0)*VLOOKUP('Données projet'!$B$11,Paramètres!$A$1:$I$89,5,0)</f>
        <v>1.8178525351686402E-14</v>
      </c>
      <c r="BF100" s="13">
        <f t="shared" si="91"/>
        <v>3.3304129621647644E-13</v>
      </c>
      <c r="BG100" s="20">
        <f t="shared" si="61"/>
        <v>6.1170785589788349E-13</v>
      </c>
      <c r="BH100" s="59">
        <f t="shared" si="62"/>
        <v>293.33333333333394</v>
      </c>
      <c r="BI100" s="59">
        <f ca="1">AVERAGE(OFFSET($BH$3,0,0,'Données projet'!$E$11+1,1))-AVERAGE(OFFSET($H$3,0,0,'Données projet'!$E$11+1,1))</f>
        <v>64.256756080189803</v>
      </c>
      <c r="BJ100" s="59">
        <f t="shared" si="92"/>
        <v>209.76343043971747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9.1869771371062541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6.0792583265961343E-11</v>
      </c>
      <c r="BS100" s="22">
        <f t="shared" si="63"/>
        <v>9.1869771371670463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235.10258076192054</v>
      </c>
      <c r="T101" s="59">
        <f t="shared" si="88"/>
        <v>233.47316052603765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0.89109470407439406</v>
      </c>
      <c r="AA101" s="21">
        <f>EXP(-LN(2)/25)*AA100+(1-EXP(-LN(2)/25))/(LN(2)/25)*Calculateur!V101*Calculateur!X101*VLOOKUP('Données projet'!$B$9,Paramètres!$A$1:$I$89,3,0)*0.475*44/12</f>
        <v>2.7979428293736222</v>
      </c>
      <c r="AB101" s="21">
        <f>EXP(-LN(2)/2)*AB100+(1-EXP(-LN(2)/2))/(LN(2)/2)*V101*Y101*VLOOKUP('Données projet'!$B$9,Paramètres!$A$1:$I$89,3,0)*0.475*44/12</f>
        <v>1.4040899534400025E-9</v>
      </c>
      <c r="AC101" s="22">
        <f t="shared" si="57"/>
        <v>3.6890375348521061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-7.4487616075202836E-14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191.94797389630673</v>
      </c>
      <c r="AO101" s="59">
        <f t="shared" si="90"/>
        <v>273.52540822767878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2.1321491422678496</v>
      </c>
      <c r="AW101" s="21">
        <f>EXP(-LN(2)/2)*AW100+(1-EXP(-LN(2)/2))/(LN(2)/2)*AQ101*AT101*VLOOKUP('Données projet'!$B$10,Paramètres!$A$1:$I$89,3,0)*0.475*44/12</f>
        <v>1.350596018581964E-9</v>
      </c>
      <c r="AX101" s="21">
        <f t="shared" si="60"/>
        <v>2.8018203151652639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2.8421709430404007E-14</v>
      </c>
      <c r="BE101" s="13">
        <f>BD101*VLOOKUP('Données projet'!$B$11,Paramètres!$A$1:$I$89,3,0)*VLOOKUP('Données projet'!$B$11,Paramètres!$A$1:$I$89,5,0)</f>
        <v>1.8178525351686402E-14</v>
      </c>
      <c r="BF101" s="13">
        <f t="shared" si="91"/>
        <v>3.3304129621647644E-13</v>
      </c>
      <c r="BG101" s="20">
        <f t="shared" si="61"/>
        <v>6.1170785589788349E-13</v>
      </c>
      <c r="BH101" s="59">
        <f t="shared" si="62"/>
        <v>293.33333333333394</v>
      </c>
      <c r="BI101" s="59">
        <f ca="1">AVERAGE(OFFSET($BH$3,0,0,'Données projet'!$E$11+1,1))-AVERAGE(OFFSET($H$3,0,0,'Données projet'!$E$11+1,1))</f>
        <v>64.256756080189803</v>
      </c>
      <c r="BJ101" s="59">
        <f t="shared" si="92"/>
        <v>209.76343043971747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9.0068261189503538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4.2986847873209098E-11</v>
      </c>
      <c r="BS101" s="22">
        <f t="shared" si="63"/>
        <v>9.0068261189933398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235.10258076192054</v>
      </c>
      <c r="T102" s="59">
        <f t="shared" si="88"/>
        <v>233.47316052603765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0.87362088044159714</v>
      </c>
      <c r="AA102" s="21">
        <f>EXP(-LN(2)/25)*AA101+(1-EXP(-LN(2)/25))/(LN(2)/25)*Calculateur!V102*Calculateur!X102*VLOOKUP('Données projet'!$B$9,Paramètres!$A$1:$I$89,3,0)*0.475*44/12</f>
        <v>2.7214329355669817</v>
      </c>
      <c r="AB102" s="21">
        <f>EXP(-LN(2)/2)*AB101+(1-EXP(-LN(2)/2))/(LN(2)/2)*V102*Y102*VLOOKUP('Données projet'!$B$9,Paramètres!$A$1:$I$89,3,0)*0.475*44/12</f>
        <v>9.9284152747332951E-10</v>
      </c>
      <c r="AC102" s="22">
        <f t="shared" si="57"/>
        <v>3.5950538170014203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-7.4487616075202836E-14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191.94797389630673</v>
      </c>
      <c r="AO102" s="59">
        <f t="shared" si="90"/>
        <v>273.52540822767878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2.0738454118476848</v>
      </c>
      <c r="AW102" s="21">
        <f>EXP(-LN(2)/2)*AW101+(1-EXP(-LN(2)/2))/(LN(2)/2)*AQ102*AT102*VLOOKUP('Données projet'!$B$10,Paramètres!$A$1:$I$89,3,0)*0.475*44/12</f>
        <v>9.5501560338285905E-10</v>
      </c>
      <c r="AX102" s="21">
        <f t="shared" si="60"/>
        <v>2.7303847411345679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2.8421709430404007E-14</v>
      </c>
      <c r="BE102" s="13">
        <f>BD102*VLOOKUP('Données projet'!$B$11,Paramètres!$A$1:$I$89,3,0)*VLOOKUP('Données projet'!$B$11,Paramètres!$A$1:$I$89,5,0)</f>
        <v>1.8178525351686402E-14</v>
      </c>
      <c r="BF102" s="13">
        <f t="shared" si="91"/>
        <v>3.3304129621647644E-13</v>
      </c>
      <c r="BG102" s="20">
        <f t="shared" si="61"/>
        <v>6.1170785589788349E-13</v>
      </c>
      <c r="BH102" s="59">
        <f t="shared" si="62"/>
        <v>293.33333333333394</v>
      </c>
      <c r="BI102" s="59">
        <f ca="1">AVERAGE(OFFSET($BH$3,0,0,'Données projet'!$E$11+1,1))-AVERAGE(OFFSET($H$3,0,0,'Données projet'!$E$11+1,1))</f>
        <v>64.256756080189803</v>
      </c>
      <c r="BJ102" s="59">
        <f t="shared" si="92"/>
        <v>209.76343043971747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8.83020775237922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3.0396291632980671E-11</v>
      </c>
      <c r="BS102" s="22">
        <f t="shared" si="63"/>
        <v>8.830207752409617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235.10258076192054</v>
      </c>
      <c r="T103" s="59">
        <f t="shared" si="88"/>
        <v>233.47316052603765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0.85648970783225931</v>
      </c>
      <c r="AA103" s="21">
        <f>EXP(-LN(2)/25)*AA102+(1-EXP(-LN(2)/25))/(LN(2)/25)*Calculateur!V103*Calculateur!X103*VLOOKUP('Données projet'!$B$9,Paramètres!$A$1:$I$89,3,0)*0.475*44/12</f>
        <v>2.6470152088299645</v>
      </c>
      <c r="AB103" s="21">
        <f>EXP(-LN(2)/2)*AB102+(1-EXP(-LN(2)/2))/(LN(2)/2)*V103*Y103*VLOOKUP('Données projet'!$B$9,Paramètres!$A$1:$I$89,3,0)*0.475*44/12</f>
        <v>7.0204497672000123E-10</v>
      </c>
      <c r="AC103" s="22">
        <f t="shared" si="57"/>
        <v>3.5035049173642689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-7.4487616075202836E-14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191.94797389630673</v>
      </c>
      <c r="AO103" s="59">
        <f t="shared" si="90"/>
        <v>273.52540822767878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2.0171360000019196</v>
      </c>
      <c r="AW103" s="21">
        <f>EXP(-LN(2)/2)*AW102+(1-EXP(-LN(2)/2))/(LN(2)/2)*AQ103*AT103*VLOOKUP('Données projet'!$B$10,Paramètres!$A$1:$I$89,3,0)*0.475*44/12</f>
        <v>6.7529800929098199E-10</v>
      </c>
      <c r="AX103" s="21">
        <f t="shared" si="60"/>
        <v>2.6608009932299463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2.8421709430404007E-14</v>
      </c>
      <c r="BE103" s="13">
        <f>BD103*VLOOKUP('Données projet'!$B$11,Paramètres!$A$1:$I$89,3,0)*VLOOKUP('Données projet'!$B$11,Paramètres!$A$1:$I$89,5,0)</f>
        <v>1.8178525351686402E-14</v>
      </c>
      <c r="BF103" s="13">
        <f t="shared" si="91"/>
        <v>3.3304129621647644E-13</v>
      </c>
      <c r="BG103" s="20">
        <f t="shared" si="61"/>
        <v>6.1170785589788349E-13</v>
      </c>
      <c r="BH103" s="59">
        <f t="shared" si="62"/>
        <v>293.33333333333394</v>
      </c>
      <c r="BI103" s="59">
        <f ca="1">AVERAGE(OFFSET($BH$3,0,0,'Données projet'!$E$11+1,1))-AVERAGE(OFFSET($H$3,0,0,'Données projet'!$E$11+1,1))</f>
        <v>64.256756080189803</v>
      </c>
      <c r="BJ103" s="59">
        <f t="shared" si="92"/>
        <v>209.76343043971747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8.657052764249979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2.1493423936604549E-11</v>
      </c>
      <c r="BS103" s="22">
        <f t="shared" si="63"/>
        <v>8.657052764271473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235.10258076192054</v>
      </c>
      <c r="T104" s="59">
        <f t="shared" si="88"/>
        <v>233.47316052603765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0.83969446706880702</v>
      </c>
      <c r="AA104" s="21">
        <f>EXP(-LN(2)/25)*AA103+(1-EXP(-LN(2)/25))/(LN(2)/25)*Calculateur!V104*Calculateur!X104*VLOOKUP('Données projet'!$B$9,Paramètres!$A$1:$I$89,3,0)*0.475*44/12</f>
        <v>2.5746324387440294</v>
      </c>
      <c r="AB104" s="21">
        <f>EXP(-LN(2)/2)*AB103+(1-EXP(-LN(2)/2))/(LN(2)/2)*V104*Y104*VLOOKUP('Données projet'!$B$9,Paramètres!$A$1:$I$89,3,0)*0.475*44/12</f>
        <v>4.9642076373666476E-10</v>
      </c>
      <c r="AC104" s="22">
        <f t="shared" si="57"/>
        <v>3.4143269063092569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-7.4487616075202836E-14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191.94797389630673</v>
      </c>
      <c r="AO104" s="59">
        <f t="shared" si="90"/>
        <v>273.52540822767878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1.9619773100052951</v>
      </c>
      <c r="AW104" s="21">
        <f>EXP(-LN(2)/2)*AW103+(1-EXP(-LN(2)/2))/(LN(2)/2)*AQ104*AT104*VLOOKUP('Données projet'!$B$10,Paramètres!$A$1:$I$89,3,0)*0.475*44/12</f>
        <v>4.7750780169142953E-10</v>
      </c>
      <c r="AX104" s="21">
        <f t="shared" si="60"/>
        <v>2.5930204251284525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2.8421709430404007E-14</v>
      </c>
      <c r="BE104" s="13">
        <f>BD104*VLOOKUP('Données projet'!$B$11,Paramètres!$A$1:$I$89,3,0)*VLOOKUP('Données projet'!$B$11,Paramètres!$A$1:$I$89,5,0)</f>
        <v>1.8178525351686402E-14</v>
      </c>
      <c r="BF104" s="13">
        <f t="shared" si="91"/>
        <v>3.3304129621647644E-13</v>
      </c>
      <c r="BG104" s="20">
        <f t="shared" si="61"/>
        <v>6.1170785589788349E-13</v>
      </c>
      <c r="BH104" s="59">
        <f t="shared" si="62"/>
        <v>293.33333333333394</v>
      </c>
      <c r="BI104" s="59">
        <f ca="1">AVERAGE(OFFSET($BH$3,0,0,'Données projet'!$E$11+1,1))-AVERAGE(OFFSET($H$3,0,0,'Données projet'!$E$11+1,1))</f>
        <v>64.256756080189803</v>
      </c>
      <c r="BJ104" s="59">
        <f t="shared" si="92"/>
        <v>209.76343043971747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8.4872932398238383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1.5198145816490336E-11</v>
      </c>
      <c r="BS104" s="22">
        <f t="shared" si="63"/>
        <v>8.4872932398390368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235.10258076192054</v>
      </c>
      <c r="T105" s="59">
        <f t="shared" si="88"/>
        <v>233.47316052603765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0.82322857073264077</v>
      </c>
      <c r="AA105" s="21">
        <f>EXP(-LN(2)/25)*AA104+(1-EXP(-LN(2)/25))/(LN(2)/25)*Calculateur!V105*Calculateur!X105*VLOOKUP('Données projet'!$B$9,Paramètres!$A$1:$I$89,3,0)*0.475*44/12</f>
        <v>2.5042289793125385</v>
      </c>
      <c r="AB105" s="21">
        <f>EXP(-LN(2)/2)*AB104+(1-EXP(-LN(2)/2))/(LN(2)/2)*V105*Y105*VLOOKUP('Données projet'!$B$9,Paramètres!$A$1:$I$89,3,0)*0.475*44/12</f>
        <v>3.5102248836000062E-10</v>
      </c>
      <c r="AC105" s="22">
        <f t="shared" si="57"/>
        <v>3.3274575503962014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-7.4487616075202836E-14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191.94797389630673</v>
      </c>
      <c r="AO105" s="59">
        <f t="shared" si="90"/>
        <v>273.52540822767878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1.9083269372872977</v>
      </c>
      <c r="AW105" s="21">
        <f>EXP(-LN(2)/2)*AW104+(1-EXP(-LN(2)/2))/(LN(2)/2)*AQ105*AT105*VLOOKUP('Données projet'!$B$10,Paramètres!$A$1:$I$89,3,0)*0.475*44/12</f>
        <v>3.37649004645491E-10</v>
      </c>
      <c r="AX105" s="21">
        <f t="shared" si="60"/>
        <v>2.5269956816906896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2.8421709430404007E-14</v>
      </c>
      <c r="BE105" s="13">
        <f>BD105*VLOOKUP('Données projet'!$B$11,Paramètres!$A$1:$I$89,3,0)*VLOOKUP('Données projet'!$B$11,Paramètres!$A$1:$I$89,5,0)</f>
        <v>1.8178525351686402E-14</v>
      </c>
      <c r="BF105" s="13">
        <f t="shared" si="91"/>
        <v>3.3304129621647644E-13</v>
      </c>
      <c r="BG105" s="20">
        <f t="shared" si="61"/>
        <v>6.1170785589788349E-13</v>
      </c>
      <c r="BH105" s="59">
        <f t="shared" si="62"/>
        <v>293.33333333333394</v>
      </c>
      <c r="BI105" s="59">
        <f ca="1">AVERAGE(OFFSET($BH$3,0,0,'Données projet'!$E$11+1,1))-AVERAGE(OFFSET($H$3,0,0,'Données projet'!$E$11+1,1))</f>
        <v>64.256756080189803</v>
      </c>
      <c r="BJ105" s="59">
        <f t="shared" si="92"/>
        <v>209.76343043971747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8.3208625961286096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1.0746711968302274E-11</v>
      </c>
      <c r="BS105" s="22">
        <f t="shared" si="63"/>
        <v>8.3208625961393565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235.10258076192054</v>
      </c>
      <c r="T106" s="59">
        <f t="shared" si="88"/>
        <v>233.47316052603765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0.80708556058042158</v>
      </c>
      <c r="AA106" s="21">
        <f>EXP(-LN(2)/25)*AA105+(1-EXP(-LN(2)/25))/(LN(2)/25)*Calculateur!V106*Calculateur!X106*VLOOKUP('Données projet'!$B$9,Paramètres!$A$1:$I$89,3,0)*0.475*44/12</f>
        <v>2.4357507061815586</v>
      </c>
      <c r="AB106" s="21">
        <f>EXP(-LN(2)/2)*AB105+(1-EXP(-LN(2)/2))/(LN(2)/2)*V106*Y106*VLOOKUP('Données projet'!$B$9,Paramètres!$A$1:$I$89,3,0)*0.475*44/12</f>
        <v>2.4821038186833238E-10</v>
      </c>
      <c r="AC106" s="22">
        <f t="shared" si="57"/>
        <v>3.2428362670101905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-7.4487616075202836E-14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191.94797389630673</v>
      </c>
      <c r="AO106" s="59">
        <f t="shared" si="90"/>
        <v>273.52540822767878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1.8561436368326245</v>
      </c>
      <c r="AW106" s="21">
        <f>EXP(-LN(2)/2)*AW105+(1-EXP(-LN(2)/2))/(LN(2)/2)*AQ106*AT106*VLOOKUP('Données projet'!$B$10,Paramètres!$A$1:$I$89,3,0)*0.475*44/12</f>
        <v>2.3875390084571476E-10</v>
      </c>
      <c r="AX106" s="21">
        <f t="shared" si="60"/>
        <v>2.4626806644166654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2.8421709430404007E-14</v>
      </c>
      <c r="BE106" s="13">
        <f>BD106*VLOOKUP('Données projet'!$B$11,Paramètres!$A$1:$I$89,3,0)*VLOOKUP('Données projet'!$B$11,Paramètres!$A$1:$I$89,5,0)</f>
        <v>1.8178525351686402E-14</v>
      </c>
      <c r="BF106" s="13">
        <f t="shared" si="91"/>
        <v>3.3304129621647644E-13</v>
      </c>
      <c r="BG106" s="20">
        <f t="shared" si="61"/>
        <v>6.1170785589788349E-13</v>
      </c>
      <c r="BH106" s="59">
        <f t="shared" si="62"/>
        <v>293.33333333333394</v>
      </c>
      <c r="BI106" s="59">
        <f ca="1">AVERAGE(OFFSET($BH$3,0,0,'Données projet'!$E$11+1,1))-AVERAGE(OFFSET($H$3,0,0,'Données projet'!$E$11+1,1))</f>
        <v>64.256756080189803</v>
      </c>
      <c r="BJ106" s="59">
        <f t="shared" si="92"/>
        <v>209.76343043971747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8.1576955558435742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7.5990729082451678E-12</v>
      </c>
      <c r="BS106" s="22">
        <f t="shared" si="63"/>
        <v>8.1576955558511735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235.10258076192054</v>
      </c>
      <c r="T107" s="59">
        <f t="shared" si="88"/>
        <v>233.47316052603765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0.79125910501102348</v>
      </c>
      <c r="AA107" s="21">
        <f>EXP(-LN(2)/25)*AA106+(1-EXP(-LN(2)/25))/(LN(2)/25)*Calculateur!V107*Calculateur!X107*VLOOKUP('Données projet'!$B$9,Paramètres!$A$1:$I$89,3,0)*0.475*44/12</f>
        <v>2.3691449750304612</v>
      </c>
      <c r="AB107" s="21">
        <f>EXP(-LN(2)/2)*AB106+(1-EXP(-LN(2)/2))/(LN(2)/2)*V107*Y107*VLOOKUP('Données projet'!$B$9,Paramètres!$A$1:$I$89,3,0)*0.475*44/12</f>
        <v>1.7551124418000031E-10</v>
      </c>
      <c r="AC107" s="22">
        <f t="shared" si="57"/>
        <v>3.1604040802169959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-7.4487616075202836E-14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191.94797389630673</v>
      </c>
      <c r="AO107" s="59">
        <f t="shared" si="90"/>
        <v>273.52540822767878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1.8053872914730849</v>
      </c>
      <c r="AW107" s="21">
        <f>EXP(-LN(2)/2)*AW106+(1-EXP(-LN(2)/2))/(LN(2)/2)*AQ107*AT107*VLOOKUP('Données projet'!$B$10,Paramètres!$A$1:$I$89,3,0)*0.475*44/12</f>
        <v>1.688245023227455E-10</v>
      </c>
      <c r="AX107" s="21">
        <f t="shared" si="60"/>
        <v>2.4000304978320126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2.8421709430404007E-14</v>
      </c>
      <c r="BE107" s="13">
        <f>BD107*VLOOKUP('Données projet'!$B$11,Paramètres!$A$1:$I$89,3,0)*VLOOKUP('Données projet'!$B$11,Paramètres!$A$1:$I$89,5,0)</f>
        <v>1.8178525351686402E-14</v>
      </c>
      <c r="BF107" s="13">
        <f t="shared" si="91"/>
        <v>3.3304129621647644E-13</v>
      </c>
      <c r="BG107" s="20">
        <f t="shared" si="61"/>
        <v>6.1170785589788349E-13</v>
      </c>
      <c r="BH107" s="59">
        <f t="shared" si="62"/>
        <v>293.33333333333394</v>
      </c>
      <c r="BI107" s="59">
        <f ca="1">AVERAGE(OFFSET($BH$3,0,0,'Données projet'!$E$11+1,1))-AVERAGE(OFFSET($H$3,0,0,'Données projet'!$E$11+1,1))</f>
        <v>64.256756080189803</v>
      </c>
      <c r="BJ107" s="59">
        <f t="shared" si="92"/>
        <v>209.76343043971747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7.9977281216964613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5.3733559841511372E-12</v>
      </c>
      <c r="BS107" s="22">
        <f t="shared" si="63"/>
        <v>7.9977281217018348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235.10258076192054</v>
      </c>
      <c r="T108" s="59">
        <f t="shared" si="88"/>
        <v>233.47316052603765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0.77574299658215651</v>
      </c>
      <c r="AA108" s="21">
        <f>EXP(-LN(2)/25)*AA107+(1-EXP(-LN(2)/25))/(LN(2)/25)*Calculateur!V108*Calculateur!X108*VLOOKUP('Données projet'!$B$9,Paramètres!$A$1:$I$89,3,0)*0.475*44/12</f>
        <v>2.3043605811003336</v>
      </c>
      <c r="AB108" s="21">
        <f>EXP(-LN(2)/2)*AB107+(1-EXP(-LN(2)/2))/(LN(2)/2)*V108*Y108*VLOOKUP('Données projet'!$B$9,Paramètres!$A$1:$I$89,3,0)*0.475*44/12</f>
        <v>1.2410519093416619E-10</v>
      </c>
      <c r="AC108" s="22">
        <f t="shared" si="57"/>
        <v>3.0801035778065953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-7.4487616075202836E-14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191.94797389630673</v>
      </c>
      <c r="AO108" s="59">
        <f t="shared" si="90"/>
        <v>273.52540822767878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1.756018881046562</v>
      </c>
      <c r="AW108" s="21">
        <f>EXP(-LN(2)/2)*AW107+(1-EXP(-LN(2)/2))/(LN(2)/2)*AQ108*AT108*VLOOKUP('Données projet'!$B$10,Paramètres!$A$1:$I$89,3,0)*0.475*44/12</f>
        <v>1.1937695042285738E-10</v>
      </c>
      <c r="AX108" s="21">
        <f t="shared" si="60"/>
        <v>2.3390014967791966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2.8421709430404007E-14</v>
      </c>
      <c r="BE108" s="13">
        <f>BD108*VLOOKUP('Données projet'!$B$11,Paramètres!$A$1:$I$89,3,0)*VLOOKUP('Données projet'!$B$11,Paramètres!$A$1:$I$89,5,0)</f>
        <v>1.8178525351686402E-14</v>
      </c>
      <c r="BF108" s="13">
        <f t="shared" si="91"/>
        <v>3.3304129621647644E-13</v>
      </c>
      <c r="BG108" s="20">
        <f t="shared" si="61"/>
        <v>6.1170785589788349E-13</v>
      </c>
      <c r="BH108" s="59">
        <f t="shared" si="62"/>
        <v>293.33333333333394</v>
      </c>
      <c r="BI108" s="59">
        <f ca="1">AVERAGE(OFFSET($BH$3,0,0,'Données projet'!$E$11+1,1))-AVERAGE(OFFSET($H$3,0,0,'Données projet'!$E$11+1,1))</f>
        <v>64.256756080189803</v>
      </c>
      <c r="BJ108" s="59">
        <f t="shared" si="92"/>
        <v>209.76343043971747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7.8408975513624721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3.7995364541225839E-12</v>
      </c>
      <c r="BS108" s="22">
        <f t="shared" si="63"/>
        <v>7.8408975513662718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235.10258076192054</v>
      </c>
      <c r="T109" s="59">
        <f t="shared" si="88"/>
        <v>233.47316052603765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0.76053114957568801</v>
      </c>
      <c r="AA109" s="21">
        <f>EXP(-LN(2)/25)*AA108+(1-EXP(-LN(2)/25))/(LN(2)/25)*Calculateur!V109*Calculateur!X109*VLOOKUP('Données projet'!$B$9,Paramètres!$A$1:$I$89,3,0)*0.475*44/12</f>
        <v>2.2413477198290885</v>
      </c>
      <c r="AB109" s="21">
        <f>EXP(-LN(2)/2)*AB108+(1-EXP(-LN(2)/2))/(LN(2)/2)*V109*Y109*VLOOKUP('Données projet'!$B$9,Paramètres!$A$1:$I$89,3,0)*0.475*44/12</f>
        <v>8.7755622090000154E-11</v>
      </c>
      <c r="AC109" s="22">
        <f t="shared" si="57"/>
        <v>3.0018788694925322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-7.4487616075202836E-14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191.94797389630673</v>
      </c>
      <c r="AO109" s="59">
        <f t="shared" si="90"/>
        <v>273.52540822767878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1.7080004523993242</v>
      </c>
      <c r="AW109" s="21">
        <f>EXP(-LN(2)/2)*AW108+(1-EXP(-LN(2)/2))/(LN(2)/2)*AQ109*AT109*VLOOKUP('Données projet'!$B$10,Paramètres!$A$1:$I$89,3,0)*0.475*44/12</f>
        <v>8.4412251161372749E-11</v>
      </c>
      <c r="AX109" s="21">
        <f t="shared" si="60"/>
        <v>2.2795511345891026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2.8421709430404007E-14</v>
      </c>
      <c r="BE109" s="13">
        <f>BD109*VLOOKUP('Données projet'!$B$11,Paramètres!$A$1:$I$89,3,0)*VLOOKUP('Données projet'!$B$11,Paramètres!$A$1:$I$89,5,0)</f>
        <v>1.8178525351686402E-14</v>
      </c>
      <c r="BF109" s="13">
        <f t="shared" si="91"/>
        <v>3.3304129621647644E-13</v>
      </c>
      <c r="BG109" s="20">
        <f t="shared" si="61"/>
        <v>6.1170785589788349E-13</v>
      </c>
      <c r="BH109" s="59">
        <f t="shared" si="62"/>
        <v>293.33333333333394</v>
      </c>
      <c r="BI109" s="59">
        <f ca="1">AVERAGE(OFFSET($BH$3,0,0,'Données projet'!$E$11+1,1))-AVERAGE(OFFSET($H$3,0,0,'Données projet'!$E$11+1,1))</f>
        <v>64.256756080189803</v>
      </c>
      <c r="BJ109" s="59">
        <f t="shared" si="92"/>
        <v>209.76343043971747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7.6871423328555304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2.6866779920755686E-12</v>
      </c>
      <c r="BS109" s="22">
        <f t="shared" si="63"/>
        <v>7.6871423328582171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235.10258076192054</v>
      </c>
      <c r="T110" s="59">
        <f t="shared" si="88"/>
        <v>233.47316052603765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0.7456175976107059</v>
      </c>
      <c r="AA110" s="21">
        <f>EXP(-LN(2)/25)*AA109+(1-EXP(-LN(2)/25))/(LN(2)/25)*Calculateur!V110*Calculateur!X110*VLOOKUP('Données projet'!$B$9,Paramètres!$A$1:$I$89,3,0)*0.475*44/12</f>
        <v>2.1800579485630083</v>
      </c>
      <c r="AB110" s="21">
        <f>EXP(-LN(2)/2)*AB109+(1-EXP(-LN(2)/2))/(LN(2)/2)*V110*Y110*VLOOKUP('Données projet'!$B$9,Paramètres!$A$1:$I$89,3,0)*0.475*44/12</f>
        <v>6.2052595467083095E-11</v>
      </c>
      <c r="AC110" s="22">
        <f t="shared" si="57"/>
        <v>2.9256755462357669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-7.4487616075202836E-14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191.94797389630673</v>
      </c>
      <c r="AO110" s="59">
        <f t="shared" si="90"/>
        <v>273.52540822767878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1.6612950902086245</v>
      </c>
      <c r="AW110" s="21">
        <f>EXP(-LN(2)/2)*AW109+(1-EXP(-LN(2)/2))/(LN(2)/2)*AQ110*AT110*VLOOKUP('Données projet'!$B$10,Paramètres!$A$1:$I$89,3,0)*0.475*44/12</f>
        <v>5.9688475211428691E-11</v>
      </c>
      <c r="AX110" s="21">
        <f t="shared" si="60"/>
        <v>2.2216380121090862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2.8421709430404007E-14</v>
      </c>
      <c r="BE110" s="13">
        <f>BD110*VLOOKUP('Données projet'!$B$11,Paramètres!$A$1:$I$89,3,0)*VLOOKUP('Données projet'!$B$11,Paramètres!$A$1:$I$89,5,0)</f>
        <v>1.8178525351686402E-14</v>
      </c>
      <c r="BF110" s="13">
        <f t="shared" si="91"/>
        <v>3.3304129621647644E-13</v>
      </c>
      <c r="BG110" s="20">
        <f t="shared" si="61"/>
        <v>6.1170785589788349E-13</v>
      </c>
      <c r="BH110" s="59">
        <f t="shared" si="62"/>
        <v>293.33333333333394</v>
      </c>
      <c r="BI110" s="59">
        <f ca="1">AVERAGE(OFFSET($BH$3,0,0,'Données projet'!$E$11+1,1))-AVERAGE(OFFSET($H$3,0,0,'Données projet'!$E$11+1,1))</f>
        <v>64.256756080189803</v>
      </c>
      <c r="BJ110" s="59">
        <f t="shared" si="92"/>
        <v>209.76343043971747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7.5364021604020861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1.899768227061292E-12</v>
      </c>
      <c r="BS110" s="22">
        <f t="shared" si="63"/>
        <v>7.5364021604039859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235.10258076192054</v>
      </c>
      <c r="T111" s="59">
        <f t="shared" si="88"/>
        <v>233.47316052603765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0.73099649130338851</v>
      </c>
      <c r="AA111" s="21">
        <f>EXP(-LN(2)/25)*AA110+(1-EXP(-LN(2)/25))/(LN(2)/25)*Calculateur!V111*Calculateur!X111*VLOOKUP('Données projet'!$B$9,Paramètres!$A$1:$I$89,3,0)*0.475*44/12</f>
        <v>2.1204441493152877</v>
      </c>
      <c r="AB111" s="21">
        <f>EXP(-LN(2)/2)*AB110+(1-EXP(-LN(2)/2))/(LN(2)/2)*V111*Y111*VLOOKUP('Données projet'!$B$9,Paramètres!$A$1:$I$89,3,0)*0.475*44/12</f>
        <v>4.3877811045000077E-11</v>
      </c>
      <c r="AC111" s="22">
        <f t="shared" si="57"/>
        <v>2.8514406406625539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-7.4487616075202836E-14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191.94797389630673</v>
      </c>
      <c r="AO111" s="59">
        <f t="shared" si="90"/>
        <v>273.52540822767878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1.6158668886031577</v>
      </c>
      <c r="AW111" s="21">
        <f>EXP(-LN(2)/2)*AW110+(1-EXP(-LN(2)/2))/(LN(2)/2)*AQ111*AT111*VLOOKUP('Données projet'!$B$10,Paramètres!$A$1:$I$89,3,0)*0.475*44/12</f>
        <v>4.2206125580686375E-11</v>
      </c>
      <c r="AX111" s="21">
        <f t="shared" si="60"/>
        <v>2.1652218275642747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2.8421709430404007E-14</v>
      </c>
      <c r="BE111" s="13">
        <f>BD111*VLOOKUP('Données projet'!$B$11,Paramètres!$A$1:$I$89,3,0)*VLOOKUP('Données projet'!$B$11,Paramètres!$A$1:$I$89,5,0)</f>
        <v>1.8178525351686402E-14</v>
      </c>
      <c r="BF111" s="13">
        <f t="shared" si="91"/>
        <v>3.3304129621647644E-13</v>
      </c>
      <c r="BG111" s="20">
        <f t="shared" si="61"/>
        <v>6.1170785589788349E-13</v>
      </c>
      <c r="BH111" s="59">
        <f t="shared" si="62"/>
        <v>293.33333333333394</v>
      </c>
      <c r="BI111" s="59">
        <f ca="1">AVERAGE(OFFSET($BH$3,0,0,'Données projet'!$E$11+1,1))-AVERAGE(OFFSET($H$3,0,0,'Données projet'!$E$11+1,1))</f>
        <v>64.256756080189803</v>
      </c>
      <c r="BJ111" s="59">
        <f t="shared" si="92"/>
        <v>209.76343043971747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7.3886179107880272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1.3433389960377843E-12</v>
      </c>
      <c r="BS111" s="22">
        <f t="shared" si="63"/>
        <v>7.3886179107893701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235.10258076192054</v>
      </c>
      <c r="T112" s="59">
        <f t="shared" si="88"/>
        <v>233.47316052603765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0.71666209597276331</v>
      </c>
      <c r="AA112" s="21">
        <f>EXP(-LN(2)/25)*AA111+(1-EXP(-LN(2)/25))/(LN(2)/25)*Calculateur!V112*Calculateur!X112*VLOOKUP('Données projet'!$B$9,Paramètres!$A$1:$I$89,3,0)*0.475*44/12</f>
        <v>2.0624604925429497</v>
      </c>
      <c r="AB112" s="21">
        <f>EXP(-LN(2)/2)*AB111+(1-EXP(-LN(2)/2))/(LN(2)/2)*V112*Y112*VLOOKUP('Données projet'!$B$9,Paramètres!$A$1:$I$89,3,0)*0.475*44/12</f>
        <v>3.1026297733541547E-11</v>
      </c>
      <c r="AC112" s="22">
        <f t="shared" si="57"/>
        <v>2.7791225885467394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-7.4487616075202836E-14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191.94797389630673</v>
      </c>
      <c r="AO112" s="59">
        <f t="shared" si="90"/>
        <v>273.52540822767878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1.5716809235595579</v>
      </c>
      <c r="AW112" s="21">
        <f>EXP(-LN(2)/2)*AW111+(1-EXP(-LN(2)/2))/(LN(2)/2)*AQ112*AT112*VLOOKUP('Données projet'!$B$10,Paramètres!$A$1:$I$89,3,0)*0.475*44/12</f>
        <v>2.9844237605714345E-11</v>
      </c>
      <c r="AX112" s="21">
        <f t="shared" si="60"/>
        <v>2.11026334722954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2.8421709430404007E-14</v>
      </c>
      <c r="BE112" s="13">
        <f>BD112*VLOOKUP('Données projet'!$B$11,Paramètres!$A$1:$I$89,3,0)*VLOOKUP('Données projet'!$B$11,Paramètres!$A$1:$I$89,5,0)</f>
        <v>1.8178525351686402E-14</v>
      </c>
      <c r="BF112" s="13">
        <f t="shared" si="91"/>
        <v>3.3304129621647644E-13</v>
      </c>
      <c r="BG112" s="20">
        <f t="shared" si="61"/>
        <v>6.1170785589788349E-13</v>
      </c>
      <c r="BH112" s="59">
        <f t="shared" si="62"/>
        <v>293.33333333333394</v>
      </c>
      <c r="BI112" s="59">
        <f ca="1">AVERAGE(OFFSET($BH$3,0,0,'Données projet'!$E$11+1,1))-AVERAGE(OFFSET($H$3,0,0,'Données projet'!$E$11+1,1))</f>
        <v>64.256756080189803</v>
      </c>
      <c r="BJ112" s="59">
        <f t="shared" si="92"/>
        <v>209.76343043971747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7.2437316201694086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9.4988411353064598E-13</v>
      </c>
      <c r="BS112" s="22">
        <f t="shared" si="63"/>
        <v>7.2437316201703581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235.10258076192054</v>
      </c>
      <c r="T113" s="59">
        <f t="shared" si="88"/>
        <v>233.47316052603765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0.70260878939145388</v>
      </c>
      <c r="AA113" s="21">
        <f>EXP(-LN(2)/25)*AA112+(1-EXP(-LN(2)/25))/(LN(2)/25)*Calculateur!V113*Calculateur!X113*VLOOKUP('Données projet'!$B$9,Paramètres!$A$1:$I$89,3,0)*0.475*44/12</f>
        <v>2.0060624019142792</v>
      </c>
      <c r="AB113" s="21">
        <f>EXP(-LN(2)/2)*AB112+(1-EXP(-LN(2)/2))/(LN(2)/2)*V113*Y113*VLOOKUP('Données projet'!$B$9,Paramètres!$A$1:$I$89,3,0)*0.475*44/12</f>
        <v>2.1938905522500039E-11</v>
      </c>
      <c r="AC113" s="22">
        <f t="shared" si="57"/>
        <v>2.7086711913276718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-7.4487616075202836E-14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191.94797389630673</v>
      </c>
      <c r="AO113" s="59">
        <f t="shared" si="90"/>
        <v>273.52540822767878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1.5287032260537141</v>
      </c>
      <c r="AW113" s="21">
        <f>EXP(-LN(2)/2)*AW112+(1-EXP(-LN(2)/2))/(LN(2)/2)*AQ113*AT113*VLOOKUP('Données projet'!$B$10,Paramètres!$A$1:$I$89,3,0)*0.475*44/12</f>
        <v>2.1103062790343187E-11</v>
      </c>
      <c r="AX113" s="21">
        <f t="shared" si="60"/>
        <v>2.0567243768902133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2.8421709430404007E-14</v>
      </c>
      <c r="BE113" s="13">
        <f>BD113*VLOOKUP('Données projet'!$B$11,Paramètres!$A$1:$I$89,3,0)*VLOOKUP('Données projet'!$B$11,Paramètres!$A$1:$I$89,5,0)</f>
        <v>1.8178525351686402E-14</v>
      </c>
      <c r="BF113" s="13">
        <f t="shared" si="91"/>
        <v>3.3304129621647644E-13</v>
      </c>
      <c r="BG113" s="20">
        <f t="shared" si="61"/>
        <v>6.1170785589788349E-13</v>
      </c>
      <c r="BH113" s="59">
        <f t="shared" si="62"/>
        <v>293.33333333333394</v>
      </c>
      <c r="BI113" s="59">
        <f ca="1">AVERAGE(OFFSET($BH$3,0,0,'Données projet'!$E$11+1,1))-AVERAGE(OFFSET($H$3,0,0,'Données projet'!$E$11+1,1))</f>
        <v>64.256756080189803</v>
      </c>
      <c r="BJ113" s="59">
        <f t="shared" si="92"/>
        <v>209.76343043971747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7.10168646133791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6.7166949801889215E-13</v>
      </c>
      <c r="BS113" s="22">
        <f t="shared" si="63"/>
        <v>7.1016864613385815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235.10258076192054</v>
      </c>
      <c r="T114" s="59">
        <f t="shared" si="88"/>
        <v>233.47316052603765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0.68883105958053326</v>
      </c>
      <c r="AA114" s="21">
        <f>EXP(-LN(2)/25)*AA113+(1-EXP(-LN(2)/25))/(LN(2)/25)*Calculateur!V114*Calculateur!X114*VLOOKUP('Données projet'!$B$9,Paramètres!$A$1:$I$89,3,0)*0.475*44/12</f>
        <v>1.9512065200396964</v>
      </c>
      <c r="AB114" s="21">
        <f>EXP(-LN(2)/2)*AB113+(1-EXP(-LN(2)/2))/(LN(2)/2)*V114*Y114*VLOOKUP('Données projet'!$B$9,Paramètres!$A$1:$I$89,3,0)*0.475*44/12</f>
        <v>1.5513148866770774E-11</v>
      </c>
      <c r="AC114" s="22">
        <f t="shared" si="57"/>
        <v>2.6400375796357429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-7.4487616075202836E-14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191.94797389630673</v>
      </c>
      <c r="AO114" s="59">
        <f t="shared" si="90"/>
        <v>273.52540822767878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1.4869007559462666</v>
      </c>
      <c r="AW114" s="21">
        <f>EXP(-LN(2)/2)*AW113+(1-EXP(-LN(2)/2))/(LN(2)/2)*AQ114*AT114*VLOOKUP('Données projet'!$B$10,Paramètres!$A$1:$I$89,3,0)*0.475*44/12</f>
        <v>1.4922118802857173E-11</v>
      </c>
      <c r="AX114" s="21">
        <f t="shared" si="60"/>
        <v>2.0045677340701964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2.8421709430404007E-14</v>
      </c>
      <c r="BE114" s="13">
        <f>BD114*VLOOKUP('Données projet'!$B$11,Paramètres!$A$1:$I$89,3,0)*VLOOKUP('Données projet'!$B$11,Paramètres!$A$1:$I$89,5,0)</f>
        <v>1.8178525351686402E-14</v>
      </c>
      <c r="BF114" s="13">
        <f t="shared" si="91"/>
        <v>3.3304129621647644E-13</v>
      </c>
      <c r="BG114" s="20">
        <f t="shared" si="61"/>
        <v>6.1170785589788349E-13</v>
      </c>
      <c r="BH114" s="59">
        <f t="shared" si="62"/>
        <v>293.33333333333394</v>
      </c>
      <c r="BI114" s="59">
        <f ca="1">AVERAGE(OFFSET($BH$3,0,0,'Données projet'!$E$11+1,1))-AVERAGE(OFFSET($H$3,0,0,'Données projet'!$E$11+1,1))</f>
        <v>64.256756080189803</v>
      </c>
      <c r="BJ114" s="59">
        <f t="shared" si="92"/>
        <v>209.76343043971747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6.9624267214321049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4.7494205676532299E-13</v>
      </c>
      <c r="BS114" s="22">
        <f t="shared" si="63"/>
        <v>6.9624267214325801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235.10258076192054</v>
      </c>
      <c r="T115" s="59">
        <f t="shared" si="88"/>
        <v>233.47316052603765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0.67532350264761942</v>
      </c>
      <c r="AA115" s="21">
        <f>EXP(-LN(2)/25)*AA114+(1-EXP(-LN(2)/25))/(LN(2)/25)*Calculateur!V115*Calculateur!X115*VLOOKUP('Données projet'!$B$9,Paramètres!$A$1:$I$89,3,0)*0.475*44/12</f>
        <v>1.8978506751397195</v>
      </c>
      <c r="AB115" s="21">
        <f>EXP(-LN(2)/2)*AB114+(1-EXP(-LN(2)/2))/(LN(2)/2)*V115*Y115*VLOOKUP('Données projet'!$B$9,Paramètres!$A$1:$I$89,3,0)*0.475*44/12</f>
        <v>1.0969452761250019E-11</v>
      </c>
      <c r="AC115" s="22">
        <f t="shared" si="57"/>
        <v>2.5731741777983084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-7.4487616075202836E-14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191.94797389630673</v>
      </c>
      <c r="AO115" s="59">
        <f t="shared" si="90"/>
        <v>273.52540822767878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1.4462413765822035</v>
      </c>
      <c r="AW115" s="21">
        <f>EXP(-LN(2)/2)*AW114+(1-EXP(-LN(2)/2))/(LN(2)/2)*AQ115*AT115*VLOOKUP('Données projet'!$B$10,Paramètres!$A$1:$I$89,3,0)*0.475*44/12</f>
        <v>1.0551531395171594E-11</v>
      </c>
      <c r="AX115" s="21">
        <f t="shared" si="60"/>
        <v>1.9537572210067242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2.8421709430404007E-14</v>
      </c>
      <c r="BE115" s="13">
        <f>BD115*VLOOKUP('Données projet'!$B$11,Paramètres!$A$1:$I$89,3,0)*VLOOKUP('Données projet'!$B$11,Paramètres!$A$1:$I$89,5,0)</f>
        <v>1.8178525351686402E-14</v>
      </c>
      <c r="BF115" s="13">
        <f t="shared" si="91"/>
        <v>3.3304129621647644E-13</v>
      </c>
      <c r="BG115" s="20">
        <f t="shared" si="61"/>
        <v>6.1170785589788349E-13</v>
      </c>
      <c r="BH115" s="59">
        <f t="shared" si="62"/>
        <v>293.33333333333394</v>
      </c>
      <c r="BI115" s="59">
        <f ca="1">AVERAGE(OFFSET($BH$3,0,0,'Données projet'!$E$11+1,1))-AVERAGE(OFFSET($H$3,0,0,'Données projet'!$E$11+1,1))</f>
        <v>64.256756080189803</v>
      </c>
      <c r="BJ115" s="59">
        <f t="shared" si="92"/>
        <v>209.76343043971747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6.8258977800857981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3.3583474900944608E-13</v>
      </c>
      <c r="BS115" s="22">
        <f t="shared" si="63"/>
        <v>6.8258977800861338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235.10258076192054</v>
      </c>
      <c r="T116" s="59">
        <f t="shared" si="88"/>
        <v>233.47316052603765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0.66208082066736385</v>
      </c>
      <c r="AA116" s="21">
        <f>EXP(-LN(2)/25)*AA115+(1-EXP(-LN(2)/25))/(LN(2)/25)*Calculateur!V116*Calculateur!X116*VLOOKUP('Données projet'!$B$9,Paramètres!$A$1:$I$89,3,0)*0.475*44/12</f>
        <v>1.8459538486243945</v>
      </c>
      <c r="AB116" s="21">
        <f>EXP(-LN(2)/2)*AB115+(1-EXP(-LN(2)/2))/(LN(2)/2)*V116*Y116*VLOOKUP('Données projet'!$B$9,Paramètres!$A$1:$I$89,3,0)*0.475*44/12</f>
        <v>7.7565744333853868E-12</v>
      </c>
      <c r="AC116" s="22">
        <f t="shared" si="57"/>
        <v>2.5080346692995148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-7.4487616075202836E-14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191.94797389630673</v>
      </c>
      <c r="AO116" s="59">
        <f t="shared" si="90"/>
        <v>273.52540822767878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1.4066938300850347</v>
      </c>
      <c r="AW116" s="21">
        <f>EXP(-LN(2)/2)*AW115+(1-EXP(-LN(2)/2))/(LN(2)/2)*AQ116*AT116*VLOOKUP('Données projet'!$B$10,Paramètres!$A$1:$I$89,3,0)*0.475*44/12</f>
        <v>7.4610594014285863E-12</v>
      </c>
      <c r="AX116" s="21">
        <f t="shared" si="60"/>
        <v>1.9042575983516061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2.8421709430404007E-14</v>
      </c>
      <c r="BE116" s="13">
        <f>BD116*VLOOKUP('Données projet'!$B$11,Paramètres!$A$1:$I$89,3,0)*VLOOKUP('Données projet'!$B$11,Paramètres!$A$1:$I$89,5,0)</f>
        <v>1.8178525351686402E-14</v>
      </c>
      <c r="BF116" s="13">
        <f t="shared" si="91"/>
        <v>3.3304129621647644E-13</v>
      </c>
      <c r="BG116" s="20">
        <f t="shared" si="61"/>
        <v>6.1170785589788349E-13</v>
      </c>
      <c r="BH116" s="59">
        <f t="shared" si="62"/>
        <v>293.33333333333394</v>
      </c>
      <c r="BI116" s="59">
        <f ca="1">AVERAGE(OFFSET($BH$3,0,0,'Données projet'!$E$11+1,1))-AVERAGE(OFFSET($H$3,0,0,'Données projet'!$E$11+1,1))</f>
        <v>64.256756080189803</v>
      </c>
      <c r="BJ116" s="59">
        <f t="shared" si="92"/>
        <v>209.76343043971747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6.6920460880048616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2.3747102838266149E-13</v>
      </c>
      <c r="BS116" s="22">
        <f t="shared" si="63"/>
        <v>6.6920460880050987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235.10258076192054</v>
      </c>
      <c r="T117" s="59">
        <f t="shared" si="88"/>
        <v>233.47316052603765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0.64909781960350266</v>
      </c>
      <c r="AA117" s="21">
        <f>EXP(-LN(2)/25)*AA116+(1-EXP(-LN(2)/25))/(LN(2)/25)*Calculateur!V117*Calculateur!X117*VLOOKUP('Données projet'!$B$9,Paramètres!$A$1:$I$89,3,0)*0.475*44/12</f>
        <v>1.7954761435592665</v>
      </c>
      <c r="AB117" s="21">
        <f>EXP(-LN(2)/2)*AB116+(1-EXP(-LN(2)/2))/(LN(2)/2)*V117*Y117*VLOOKUP('Données projet'!$B$9,Paramètres!$A$1:$I$89,3,0)*0.475*44/12</f>
        <v>5.4847263806250096E-12</v>
      </c>
      <c r="AC117" s="22">
        <f t="shared" si="57"/>
        <v>2.4445739631682541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-7.4487616075202836E-14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191.94797389630673</v>
      </c>
      <c r="AO117" s="59">
        <f t="shared" si="90"/>
        <v>273.52540822767878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1.3682277133265459</v>
      </c>
      <c r="AW117" s="21">
        <f>EXP(-LN(2)/2)*AW116+(1-EXP(-LN(2)/2))/(LN(2)/2)*AQ117*AT117*VLOOKUP('Données projet'!$B$10,Paramètres!$A$1:$I$89,3,0)*0.475*44/12</f>
        <v>5.2757656975857968E-12</v>
      </c>
      <c r="AX117" s="21">
        <f t="shared" si="60"/>
        <v>1.8560345595793031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2.8421709430404007E-14</v>
      </c>
      <c r="BE117" s="13">
        <f>BD117*VLOOKUP('Données projet'!$B$11,Paramètres!$A$1:$I$89,3,0)*VLOOKUP('Données projet'!$B$11,Paramètres!$A$1:$I$89,5,0)</f>
        <v>1.8178525351686402E-14</v>
      </c>
      <c r="BF117" s="13">
        <f t="shared" si="91"/>
        <v>3.3304129621647644E-13</v>
      </c>
      <c r="BG117" s="20">
        <f t="shared" si="61"/>
        <v>6.1170785589788349E-13</v>
      </c>
      <c r="BH117" s="59">
        <f t="shared" si="62"/>
        <v>293.33333333333394</v>
      </c>
      <c r="BI117" s="59">
        <f ca="1">AVERAGE(OFFSET($BH$3,0,0,'Données projet'!$E$11+1,1))-AVERAGE(OFFSET($H$3,0,0,'Données projet'!$E$11+1,1))</f>
        <v>64.256756080189803</v>
      </c>
      <c r="BJ117" s="59">
        <f t="shared" si="92"/>
        <v>209.76343043971747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6.5608191459641612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1.6791737450472304E-13</v>
      </c>
      <c r="BS117" s="22">
        <f t="shared" si="63"/>
        <v>6.560819145964329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235.10258076192054</v>
      </c>
      <c r="T118" s="59">
        <f t="shared" si="88"/>
        <v>233.47316052603765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0.63636940727165503</v>
      </c>
      <c r="AA118" s="21">
        <f>EXP(-LN(2)/25)*AA117+(1-EXP(-LN(2)/25))/(LN(2)/25)*Calculateur!V118*Calculateur!X118*VLOOKUP('Données projet'!$B$9,Paramètres!$A$1:$I$89,3,0)*0.475*44/12</f>
        <v>1.7463787539936517</v>
      </c>
      <c r="AB118" s="21">
        <f>EXP(-LN(2)/2)*AB117+(1-EXP(-LN(2)/2))/(LN(2)/2)*V118*Y118*VLOOKUP('Données projet'!$B$9,Paramètres!$A$1:$I$89,3,0)*0.475*44/12</f>
        <v>3.8782872166926934E-12</v>
      </c>
      <c r="AC118" s="22">
        <f t="shared" si="57"/>
        <v>2.382748161269185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-7.4487616075202836E-14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191.94797389630673</v>
      </c>
      <c r="AO118" s="59">
        <f t="shared" si="90"/>
        <v>273.52540822767878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1.3308134545536632</v>
      </c>
      <c r="AW118" s="21">
        <f>EXP(-LN(2)/2)*AW117+(1-EXP(-LN(2)/2))/(LN(2)/2)*AQ118*AT118*VLOOKUP('Données projet'!$B$10,Paramètres!$A$1:$I$89,3,0)*0.475*44/12</f>
        <v>3.7305297007142932E-12</v>
      </c>
      <c r="AX118" s="21">
        <f t="shared" si="60"/>
        <v>1.8090547060827593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2.8421709430404007E-14</v>
      </c>
      <c r="BE118" s="13">
        <f>BD118*VLOOKUP('Données projet'!$B$11,Paramètres!$A$1:$I$89,3,0)*VLOOKUP('Données projet'!$B$11,Paramètres!$A$1:$I$89,5,0)</f>
        <v>1.8178525351686402E-14</v>
      </c>
      <c r="BF118" s="13">
        <f t="shared" si="91"/>
        <v>3.3304129621647644E-13</v>
      </c>
      <c r="BG118" s="20">
        <f t="shared" si="61"/>
        <v>6.1170785589788349E-13</v>
      </c>
      <c r="BH118" s="59">
        <f t="shared" si="62"/>
        <v>293.33333333333394</v>
      </c>
      <c r="BI118" s="59">
        <f ca="1">AVERAGE(OFFSET($BH$3,0,0,'Données projet'!$E$11+1,1))-AVERAGE(OFFSET($H$3,0,0,'Données projet'!$E$11+1,1))</f>
        <v>64.256756080189803</v>
      </c>
      <c r="BJ118" s="59">
        <f t="shared" si="92"/>
        <v>209.76343043971747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6.4321654842163474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1.1873551419133075E-13</v>
      </c>
      <c r="BS118" s="22">
        <f t="shared" si="63"/>
        <v>6.4321654842164664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235.10258076192054</v>
      </c>
      <c r="T119" s="59">
        <f t="shared" si="88"/>
        <v>233.47316052603765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0.62389059134206992</v>
      </c>
      <c r="AA119" s="21">
        <f>EXP(-LN(2)/25)*AA118+(1-EXP(-LN(2)/25))/(LN(2)/25)*Calculateur!V119*Calculateur!X119*VLOOKUP('Données projet'!$B$9,Paramètres!$A$1:$I$89,3,0)*0.475*44/12</f>
        <v>1.698623935127628</v>
      </c>
      <c r="AB119" s="21">
        <f>EXP(-LN(2)/2)*AB118+(1-EXP(-LN(2)/2))/(LN(2)/2)*V119*Y119*VLOOKUP('Données projet'!$B$9,Paramètres!$A$1:$I$89,3,0)*0.475*44/12</f>
        <v>2.7423631903125048E-12</v>
      </c>
      <c r="AC119" s="22">
        <f t="shared" si="57"/>
        <v>2.3225145264724403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-7.4487616075202836E-14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191.94797389630673</v>
      </c>
      <c r="AO119" s="59">
        <f t="shared" si="90"/>
        <v>273.52540822767878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1.2944222906544554</v>
      </c>
      <c r="AW119" s="21">
        <f>EXP(-LN(2)/2)*AW118+(1-EXP(-LN(2)/2))/(LN(2)/2)*AQ119*AT119*VLOOKUP('Données projet'!$B$10,Paramètres!$A$1:$I$89,3,0)*0.475*44/12</f>
        <v>2.6378828487928984E-12</v>
      </c>
      <c r="AX119" s="21">
        <f t="shared" si="60"/>
        <v>1.763285522938407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2.8421709430404007E-14</v>
      </c>
      <c r="BE119" s="13">
        <f>BD119*VLOOKUP('Données projet'!$B$11,Paramètres!$A$1:$I$89,3,0)*VLOOKUP('Données projet'!$B$11,Paramètres!$A$1:$I$89,5,0)</f>
        <v>1.8178525351686402E-14</v>
      </c>
      <c r="BF119" s="13">
        <f t="shared" si="91"/>
        <v>3.3304129621647644E-13</v>
      </c>
      <c r="BG119" s="20">
        <f t="shared" si="61"/>
        <v>6.1170785589788349E-13</v>
      </c>
      <c r="BH119" s="59">
        <f t="shared" si="62"/>
        <v>293.33333333333394</v>
      </c>
      <c r="BI119" s="59">
        <f ca="1">AVERAGE(OFFSET($BH$3,0,0,'Données projet'!$E$11+1,1))-AVERAGE(OFFSET($H$3,0,0,'Données projet'!$E$11+1,1))</f>
        <v>64.256756080189803</v>
      </c>
      <c r="BJ119" s="59">
        <f t="shared" si="92"/>
        <v>209.76343043971747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6.3060346423044233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8.3958687252361519E-14</v>
      </c>
      <c r="BS119" s="22">
        <f t="shared" si="63"/>
        <v>6.3060346423045077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235.10258076192054</v>
      </c>
      <c r="T120" s="59">
        <f t="shared" si="88"/>
        <v>233.47316052603765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0.61165647738153783</v>
      </c>
      <c r="AA120" s="21">
        <f>EXP(-LN(2)/25)*AA119+(1-EXP(-LN(2)/25))/(LN(2)/25)*Calculateur!V120*Calculateur!X120*VLOOKUP('Données projet'!$B$9,Paramètres!$A$1:$I$89,3,0)*0.475*44/12</f>
        <v>1.6521749742948124</v>
      </c>
      <c r="AB120" s="21">
        <f>EXP(-LN(2)/2)*AB119+(1-EXP(-LN(2)/2))/(LN(2)/2)*V120*Y120*VLOOKUP('Données projet'!$B$9,Paramètres!$A$1:$I$89,3,0)*0.475*44/12</f>
        <v>1.9391436083463467E-12</v>
      </c>
      <c r="AC120" s="22">
        <f t="shared" si="57"/>
        <v>2.2638314516782896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-7.4487616075202836E-14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191.94797389630673</v>
      </c>
      <c r="AO120" s="59">
        <f t="shared" si="90"/>
        <v>273.52540822767878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1.2590262450457994</v>
      </c>
      <c r="AW120" s="21">
        <f>EXP(-LN(2)/2)*AW119+(1-EXP(-LN(2)/2))/(LN(2)/2)*AQ120*AT120*VLOOKUP('Données projet'!$B$10,Paramètres!$A$1:$I$89,3,0)*0.475*44/12</f>
        <v>1.8652648503571466E-12</v>
      </c>
      <c r="AX120" s="21">
        <f t="shared" si="60"/>
        <v>1.7186953553222755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2.8421709430404007E-14</v>
      </c>
      <c r="BE120" s="13">
        <f>BD120*VLOOKUP('Données projet'!$B$11,Paramètres!$A$1:$I$89,3,0)*VLOOKUP('Données projet'!$B$11,Paramètres!$A$1:$I$89,5,0)</f>
        <v>1.8178525351686402E-14</v>
      </c>
      <c r="BF120" s="13">
        <f t="shared" si="91"/>
        <v>3.3304129621647644E-13</v>
      </c>
      <c r="BG120" s="20">
        <f t="shared" si="61"/>
        <v>6.1170785589788349E-13</v>
      </c>
      <c r="BH120" s="59">
        <f t="shared" si="62"/>
        <v>293.33333333333394</v>
      </c>
      <c r="BI120" s="59">
        <f ca="1">AVERAGE(OFFSET($BH$3,0,0,'Données projet'!$E$11+1,1))-AVERAGE(OFFSET($H$3,0,0,'Données projet'!$E$11+1,1))</f>
        <v>64.256756080189803</v>
      </c>
      <c r="BJ120" s="59">
        <f t="shared" si="92"/>
        <v>209.76343043971747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6.1823771492701747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5.9367757095665374E-14</v>
      </c>
      <c r="BS120" s="22">
        <f t="shared" si="63"/>
        <v>6.1823771492702342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235.10258076192054</v>
      </c>
      <c r="T121" s="59">
        <f t="shared" si="88"/>
        <v>233.47316052603765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0.59966226693369917</v>
      </c>
      <c r="AA121" s="21">
        <f>EXP(-LN(2)/25)*AA120+(1-EXP(-LN(2)/25))/(LN(2)/25)*Calculateur!V121*Calculateur!X121*VLOOKUP('Données projet'!$B$9,Paramètres!$A$1:$I$89,3,0)*0.475*44/12</f>
        <v>1.6069961627386149</v>
      </c>
      <c r="AB121" s="21">
        <f>EXP(-LN(2)/2)*AB120+(1-EXP(-LN(2)/2))/(LN(2)/2)*V121*Y121*VLOOKUP('Données projet'!$B$9,Paramètres!$A$1:$I$89,3,0)*0.475*44/12</f>
        <v>1.3711815951562524E-12</v>
      </c>
      <c r="AC121" s="22">
        <f t="shared" si="57"/>
        <v>2.2066584296736855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-7.4487616075202836E-14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191.94797389630673</v>
      </c>
      <c r="AO121" s="59">
        <f t="shared" si="90"/>
        <v>273.52540822767878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1.2245981061657094</v>
      </c>
      <c r="AW121" s="21">
        <f>EXP(-LN(2)/2)*AW120+(1-EXP(-LN(2)/2))/(LN(2)/2)*AQ121*AT121*VLOOKUP('Données projet'!$B$10,Paramètres!$A$1:$I$89,3,0)*0.475*44/12</f>
        <v>1.3189414243964492E-12</v>
      </c>
      <c r="AX121" s="21">
        <f t="shared" si="60"/>
        <v>1.675253385559627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2.8421709430404007E-14</v>
      </c>
      <c r="BE121" s="13">
        <f>BD121*VLOOKUP('Données projet'!$B$11,Paramètres!$A$1:$I$89,3,0)*VLOOKUP('Données projet'!$B$11,Paramètres!$A$1:$I$89,5,0)</f>
        <v>1.8178525351686402E-14</v>
      </c>
      <c r="BF121" s="13">
        <f t="shared" si="91"/>
        <v>3.3304129621647644E-13</v>
      </c>
      <c r="BG121" s="20">
        <f t="shared" si="61"/>
        <v>6.1170785589788349E-13</v>
      </c>
      <c r="BH121" s="59">
        <f t="shared" si="62"/>
        <v>293.33333333333394</v>
      </c>
      <c r="BI121" s="59">
        <f ca="1">AVERAGE(OFFSET($BH$3,0,0,'Données projet'!$E$11+1,1))-AVERAGE(OFFSET($H$3,0,0,'Données projet'!$E$11+1,1))</f>
        <v>64.256756080189803</v>
      </c>
      <c r="BJ121" s="59">
        <f t="shared" si="92"/>
        <v>209.76343043971747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6.0611445042507039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4.197934362618076E-14</v>
      </c>
      <c r="BS121" s="22">
        <f t="shared" si="63"/>
        <v>6.0611445042507457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235.10258076192054</v>
      </c>
      <c r="T122" s="59">
        <f t="shared" si="88"/>
        <v>233.47316052603765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0.58790325563699652</v>
      </c>
      <c r="AA122" s="21">
        <f>EXP(-LN(2)/25)*AA121+(1-EXP(-LN(2)/25))/(LN(2)/25)*Calculateur!V122*Calculateur!X122*VLOOKUP('Données projet'!$B$9,Paramètres!$A$1:$I$89,3,0)*0.475*44/12</f>
        <v>1.5630527681602722</v>
      </c>
      <c r="AB122" s="21">
        <f>EXP(-LN(2)/2)*AB121+(1-EXP(-LN(2)/2))/(LN(2)/2)*V122*Y122*VLOOKUP('Données projet'!$B$9,Paramètres!$A$1:$I$89,3,0)*0.475*44/12</f>
        <v>9.6957180417317335E-13</v>
      </c>
      <c r="AC122" s="22">
        <f t="shared" si="57"/>
        <v>2.1509560237982384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-7.4487616075202836E-14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191.94797389630673</v>
      </c>
      <c r="AO122" s="59">
        <f t="shared" si="90"/>
        <v>273.52540822767878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1.1911114065537924</v>
      </c>
      <c r="AW122" s="21">
        <f>EXP(-LN(2)/2)*AW121+(1-EXP(-LN(2)/2))/(LN(2)/2)*AQ122*AT122*VLOOKUP('Données projet'!$B$10,Paramètres!$A$1:$I$89,3,0)*0.475*44/12</f>
        <v>9.3263242517857329E-13</v>
      </c>
      <c r="AX122" s="21">
        <f t="shared" si="60"/>
        <v>1.6329296107910138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2.8421709430404007E-14</v>
      </c>
      <c r="BE122" s="13">
        <f>BD122*VLOOKUP('Données projet'!$B$11,Paramètres!$A$1:$I$89,3,0)*VLOOKUP('Données projet'!$B$11,Paramètres!$A$1:$I$89,5,0)</f>
        <v>1.8178525351686402E-14</v>
      </c>
      <c r="BF122" s="13">
        <f t="shared" si="91"/>
        <v>3.3304129621647644E-13</v>
      </c>
      <c r="BG122" s="20">
        <f t="shared" si="61"/>
        <v>6.1170785589788349E-13</v>
      </c>
      <c r="BH122" s="59">
        <f t="shared" si="62"/>
        <v>293.33333333333394</v>
      </c>
      <c r="BI122" s="59">
        <f ca="1">AVERAGE(OFFSET($BH$3,0,0,'Données projet'!$E$11+1,1))-AVERAGE(OFFSET($H$3,0,0,'Données projet'!$E$11+1,1))</f>
        <v>64.256756080189803</v>
      </c>
      <c r="BJ122" s="59">
        <f t="shared" si="92"/>
        <v>209.76343043971747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5.9422891574554537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2.9683878547832687E-14</v>
      </c>
      <c r="BS122" s="22">
        <f t="shared" si="63"/>
        <v>5.942289157455483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235.10258076192054</v>
      </c>
      <c r="T123" s="59">
        <f t="shared" si="88"/>
        <v>233.47316052603765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0.5763748313795336</v>
      </c>
      <c r="AA123" s="21">
        <f>EXP(-LN(2)/25)*AA122+(1-EXP(-LN(2)/25))/(LN(2)/25)*Calculateur!V123*Calculateur!X123*VLOOKUP('Données projet'!$B$9,Paramètres!$A$1:$I$89,3,0)*0.475*44/12</f>
        <v>1.5203110080175568</v>
      </c>
      <c r="AB123" s="21">
        <f>EXP(-LN(2)/2)*AB122+(1-EXP(-LN(2)/2))/(LN(2)/2)*V123*Y123*VLOOKUP('Données projet'!$B$9,Paramètres!$A$1:$I$89,3,0)*0.475*44/12</f>
        <v>6.855907975781262E-13</v>
      </c>
      <c r="AC123" s="22">
        <f t="shared" si="57"/>
        <v>2.0966858393977761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-7.4487616075202836E-14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191.94797389630673</v>
      </c>
      <c r="AO123" s="59">
        <f t="shared" si="90"/>
        <v>273.52540822767878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1.1585404025037525</v>
      </c>
      <c r="AW123" s="21">
        <f>EXP(-LN(2)/2)*AW122+(1-EXP(-LN(2)/2))/(LN(2)/2)*AQ123*AT123*VLOOKUP('Données projet'!$B$10,Paramètres!$A$1:$I$89,3,0)*0.475*44/12</f>
        <v>6.594707121982246E-13</v>
      </c>
      <c r="AX123" s="21">
        <f t="shared" si="60"/>
        <v>1.5916948212381226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2.8421709430404007E-14</v>
      </c>
      <c r="BE123" s="13">
        <f>BD123*VLOOKUP('Données projet'!$B$11,Paramètres!$A$1:$I$89,3,0)*VLOOKUP('Données projet'!$B$11,Paramètres!$A$1:$I$89,5,0)</f>
        <v>1.8178525351686402E-14</v>
      </c>
      <c r="BF123" s="13">
        <f t="shared" si="91"/>
        <v>3.3304129621647644E-13</v>
      </c>
      <c r="BG123" s="20">
        <f t="shared" si="61"/>
        <v>6.1170785589788349E-13</v>
      </c>
      <c r="BH123" s="59">
        <f t="shared" si="62"/>
        <v>293.33333333333394</v>
      </c>
      <c r="BI123" s="59">
        <f ca="1">AVERAGE(OFFSET($BH$3,0,0,'Données projet'!$E$11+1,1))-AVERAGE(OFFSET($H$3,0,0,'Données projet'!$E$11+1,1))</f>
        <v>64.256756080189803</v>
      </c>
      <c r="BJ123" s="59">
        <f t="shared" si="92"/>
        <v>209.76343043971747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5.8257644915162548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2.098967181309038E-14</v>
      </c>
      <c r="BS123" s="22">
        <f t="shared" si="63"/>
        <v>5.8257644915162761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235.10258076192054</v>
      </c>
      <c r="T124" s="59">
        <f t="shared" si="88"/>
        <v>233.47316052603765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0.56507247249011505</v>
      </c>
      <c r="AA124" s="21">
        <f>EXP(-LN(2)/25)*AA123+(1-EXP(-LN(2)/25))/(LN(2)/25)*Calculateur!V124*Calculateur!X124*VLOOKUP('Données projet'!$B$9,Paramètres!$A$1:$I$89,3,0)*0.475*44/12</f>
        <v>1.4787380235536356</v>
      </c>
      <c r="AB124" s="21">
        <f>EXP(-LN(2)/2)*AB123+(1-EXP(-LN(2)/2))/(LN(2)/2)*V124*Y124*VLOOKUP('Données projet'!$B$9,Paramètres!$A$1:$I$89,3,0)*0.475*44/12</f>
        <v>4.8478590208658668E-13</v>
      </c>
      <c r="AC124" s="22">
        <f t="shared" si="57"/>
        <v>2.0438104960442356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-7.4487616075202836E-14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191.94797389630673</v>
      </c>
      <c r="AO124" s="59">
        <f t="shared" si="90"/>
        <v>273.52540822767878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1.1268600542722955</v>
      </c>
      <c r="AW124" s="21">
        <f>EXP(-LN(2)/2)*AW123+(1-EXP(-LN(2)/2))/(LN(2)/2)*AQ124*AT124*VLOOKUP('Données projet'!$B$10,Paramètres!$A$1:$I$89,3,0)*0.475*44/12</f>
        <v>4.6631621258928665E-13</v>
      </c>
      <c r="AX124" s="21">
        <f t="shared" si="60"/>
        <v>1.5515205790532123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1.8178525351686402E-14</v>
      </c>
      <c r="BF124" s="13">
        <f t="shared" si="91"/>
        <v>3.3304129621647644E-13</v>
      </c>
      <c r="BG124" s="20">
        <f t="shared" si="61"/>
        <v>6.1170785589788349E-13</v>
      </c>
      <c r="BH124" s="59">
        <f t="shared" si="62"/>
        <v>293.33333333333394</v>
      </c>
      <c r="BI124" s="59">
        <f ca="1">AVERAGE(OFFSET($BH$3,0,0,'Données projet'!$E$11+1,1))-AVERAGE(OFFSET($H$3,0,0,'Données projet'!$E$11+1,1))</f>
        <v>64.256756080189803</v>
      </c>
      <c r="BJ124" s="59">
        <f t="shared" si="92"/>
        <v>209.76343043971747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5.711524803203095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1.4841939273916343E-14</v>
      </c>
      <c r="BS124" s="22">
        <f t="shared" si="63"/>
        <v>5.7115248032031101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235.10258076192054</v>
      </c>
      <c r="T125" s="59">
        <f t="shared" si="88"/>
        <v>233.47316052603765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0.55399174596475975</v>
      </c>
      <c r="AA125" s="21">
        <f>EXP(-LN(2)/25)*AA124+(1-EXP(-LN(2)/25))/(LN(2)/25)*Calculateur!V125*Calculateur!X125*VLOOKUP('Données projet'!$B$9,Paramètres!$A$1:$I$89,3,0)*0.475*44/12</f>
        <v>1.4383018545361084</v>
      </c>
      <c r="AB125" s="21">
        <f>EXP(-LN(2)/2)*AB124+(1-EXP(-LN(2)/2))/(LN(2)/2)*V125*Y125*VLOOKUP('Données projet'!$B$9,Paramètres!$A$1:$I$89,3,0)*0.475*44/12</f>
        <v>3.427953987890631E-13</v>
      </c>
      <c r="AC125" s="22">
        <f t="shared" si="57"/>
        <v>1.9922936005012111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-7.4487616075202836E-14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191.94797389630673</v>
      </c>
      <c r="AO125" s="59">
        <f t="shared" si="90"/>
        <v>273.52540822767878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1.0960460068292248</v>
      </c>
      <c r="AW125" s="21">
        <f>EXP(-LN(2)/2)*AW124+(1-EXP(-LN(2)/2))/(LN(2)/2)*AQ125*AT125*VLOOKUP('Données projet'!$B$10,Paramètres!$A$1:$I$89,3,0)*0.475*44/12</f>
        <v>3.297353560991123E-13</v>
      </c>
      <c r="AX125" s="21">
        <f t="shared" si="60"/>
        <v>1.5123791977364047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1.8178525351686402E-14</v>
      </c>
      <c r="BF125" s="13">
        <f t="shared" si="91"/>
        <v>3.3304129621647644E-13</v>
      </c>
      <c r="BG125" s="20">
        <f t="shared" si="61"/>
        <v>6.1170785589788349E-13</v>
      </c>
      <c r="BH125" s="59">
        <f t="shared" si="62"/>
        <v>293.33333333333394</v>
      </c>
      <c r="BI125" s="59">
        <f ca="1">AVERAGE(OFFSET($BH$3,0,0,'Données projet'!$E$11+1,1))-AVERAGE(OFFSET($H$3,0,0,'Données projet'!$E$11+1,1))</f>
        <v>64.256756080189803</v>
      </c>
      <c r="BJ125" s="59">
        <f t="shared" si="92"/>
        <v>209.76343043971747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5.5995252854984265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1.049483590654519E-14</v>
      </c>
      <c r="BS125" s="22">
        <f t="shared" si="63"/>
        <v>5.5995252854984372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235.10258076192054</v>
      </c>
      <c r="T126" s="59">
        <f t="shared" si="88"/>
        <v>233.47316052603765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0.54312830572799087</v>
      </c>
      <c r="AA126" s="21">
        <f>EXP(-LN(2)/25)*AA125+(1-EXP(-LN(2)/25))/(LN(2)/25)*Calculateur!V126*Calculateur!X126*VLOOKUP('Données projet'!$B$9,Paramètres!$A$1:$I$89,3,0)*0.475*44/12</f>
        <v>1.3989714146868113</v>
      </c>
      <c r="AB126" s="21">
        <f>EXP(-LN(2)/2)*AB125+(1-EXP(-LN(2)/2))/(LN(2)/2)*V126*Y126*VLOOKUP('Données projet'!$B$9,Paramètres!$A$1:$I$89,3,0)*0.475*44/12</f>
        <v>2.4239295104329334E-13</v>
      </c>
      <c r="AC126" s="22">
        <f t="shared" si="57"/>
        <v>1.9420997204150448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-7.4487616075202836E-14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191.94797389630673</v>
      </c>
      <c r="AO126" s="59">
        <f t="shared" si="90"/>
        <v>273.52540822767878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1.0660745711339252</v>
      </c>
      <c r="AW126" s="21">
        <f>EXP(-LN(2)/2)*AW125+(1-EXP(-LN(2)/2))/(LN(2)/2)*AQ126*AT126*VLOOKUP('Données projet'!$B$10,Paramètres!$A$1:$I$89,3,0)*0.475*44/12</f>
        <v>2.3315810629464332E-13</v>
      </c>
      <c r="AX126" s="21">
        <f t="shared" si="60"/>
        <v>1.4742437221054974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1.8178525351686402E-14</v>
      </c>
      <c r="BF126" s="13">
        <f t="shared" si="91"/>
        <v>3.3304129621647644E-13</v>
      </c>
      <c r="BG126" s="20">
        <f t="shared" si="61"/>
        <v>6.1170785589788349E-13</v>
      </c>
      <c r="BH126" s="59">
        <f t="shared" si="62"/>
        <v>293.33333333333394</v>
      </c>
      <c r="BI126" s="59">
        <f ca="1">AVERAGE(OFFSET($BH$3,0,0,'Données projet'!$E$11+1,1))-AVERAGE(OFFSET($H$3,0,0,'Données projet'!$E$11+1,1))</f>
        <v>64.256756080189803</v>
      </c>
      <c r="BJ126" s="59">
        <f t="shared" si="92"/>
        <v>209.76343043971747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5.4897220100229864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7.4209696369581717E-15</v>
      </c>
      <c r="BS126" s="22">
        <f t="shared" si="63"/>
        <v>5.4897220100229935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235.10258076192054</v>
      </c>
      <c r="T127" s="59">
        <f t="shared" si="88"/>
        <v>233.47316052603765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0.53247789092822073</v>
      </c>
      <c r="AA127" s="21">
        <f>EXP(-LN(2)/25)*AA126+(1-EXP(-LN(2)/25))/(LN(2)/25)*Calculateur!V127*Calculateur!X127*VLOOKUP('Données projet'!$B$9,Paramètres!$A$1:$I$89,3,0)*0.475*44/12</f>
        <v>1.3607164677834911</v>
      </c>
      <c r="AB127" s="21">
        <f>EXP(-LN(2)/2)*AB126+(1-EXP(-LN(2)/2))/(LN(2)/2)*V127*Y127*VLOOKUP('Données projet'!$B$9,Paramètres!$A$1:$I$89,3,0)*0.475*44/12</f>
        <v>1.7139769939453155E-13</v>
      </c>
      <c r="AC127" s="22">
        <f t="shared" si="57"/>
        <v>1.8931943587118831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-7.4487616075202836E-14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191.94797389630673</v>
      </c>
      <c r="AO127" s="59">
        <f t="shared" si="90"/>
        <v>273.52540822767878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1.0369227059238428</v>
      </c>
      <c r="AW127" s="21">
        <f>EXP(-LN(2)/2)*AW126+(1-EXP(-LN(2)/2))/(LN(2)/2)*AQ127*AT127*VLOOKUP('Données projet'!$B$10,Paramètres!$A$1:$I$89,3,0)*0.475*44/12</f>
        <v>1.6486767804955615E-13</v>
      </c>
      <c r="AX127" s="21">
        <f t="shared" si="60"/>
        <v>1.4370879088033981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1.8178525351686402E-14</v>
      </c>
      <c r="BF127" s="13">
        <f t="shared" si="91"/>
        <v>3.3304129621647644E-13</v>
      </c>
      <c r="BG127" s="20">
        <f t="shared" si="61"/>
        <v>6.1170785589788349E-13</v>
      </c>
      <c r="BH127" s="59">
        <f t="shared" si="62"/>
        <v>293.33333333333394</v>
      </c>
      <c r="BI127" s="59">
        <f ca="1">AVERAGE(OFFSET($BH$3,0,0,'Données projet'!$E$11+1,1))-AVERAGE(OFFSET($H$3,0,0,'Données projet'!$E$11+1,1))</f>
        <v>64.256756080189803</v>
      </c>
      <c r="BJ127" s="59">
        <f t="shared" si="92"/>
        <v>209.76343043971747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5.3820719098062346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5.2474179532725949E-15</v>
      </c>
      <c r="BS127" s="22">
        <f t="shared" si="63"/>
        <v>5.38207190980624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235.10258076192054</v>
      </c>
      <c r="T128" s="59">
        <f t="shared" si="88"/>
        <v>233.47316052603765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0.52203632426656243</v>
      </c>
      <c r="AA128" s="21">
        <f>EXP(-LN(2)/25)*AA127+(1-EXP(-LN(2)/25))/(LN(2)/25)*Calculateur!V128*Calculateur!X128*VLOOKUP('Données projet'!$B$9,Paramètres!$A$1:$I$89,3,0)*0.475*44/12</f>
        <v>1.3235076044149825</v>
      </c>
      <c r="AB128" s="21">
        <f>EXP(-LN(2)/2)*AB127+(1-EXP(-LN(2)/2))/(LN(2)/2)*V128*Y128*VLOOKUP('Données projet'!$B$9,Paramètres!$A$1:$I$89,3,0)*0.475*44/12</f>
        <v>1.2119647552164667E-13</v>
      </c>
      <c r="AC128" s="22">
        <f t="shared" si="57"/>
        <v>1.8455439286816662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-7.4487616075202836E-14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191.94797389630673</v>
      </c>
      <c r="AO128" s="59">
        <f t="shared" si="90"/>
        <v>273.52540822767878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1.0085680000009603</v>
      </c>
      <c r="AW128" s="21">
        <f>EXP(-LN(2)/2)*AW127+(1-EXP(-LN(2)/2))/(LN(2)/2)*AQ128*AT128*VLOOKUP('Données projet'!$B$10,Paramètres!$A$1:$I$89,3,0)*0.475*44/12</f>
        <v>1.1657905314732166E-13</v>
      </c>
      <c r="AX128" s="21">
        <f t="shared" si="60"/>
        <v>1.4008862073286756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1.8178525351686402E-14</v>
      </c>
      <c r="BF128" s="13">
        <f t="shared" si="91"/>
        <v>3.3304129621647644E-13</v>
      </c>
      <c r="BG128" s="20">
        <f t="shared" si="61"/>
        <v>6.1170785589788349E-13</v>
      </c>
      <c r="BH128" s="59">
        <f t="shared" si="62"/>
        <v>293.33333333333394</v>
      </c>
      <c r="BI128" s="59">
        <f ca="1">AVERAGE(OFFSET($BH$3,0,0,'Données projet'!$E$11+1,1))-AVERAGE(OFFSET($H$3,0,0,'Données projet'!$E$11+1,1))</f>
        <v>64.256756080189803</v>
      </c>
      <c r="BJ128" s="59">
        <f t="shared" si="92"/>
        <v>209.76343043971747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5.2765327623946554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3.7104848184790859E-15</v>
      </c>
      <c r="BS128" s="22">
        <f t="shared" si="63"/>
        <v>5.276532762394659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235.10258076192054</v>
      </c>
      <c r="T129" s="59">
        <f t="shared" si="88"/>
        <v>233.47316052603765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0.51179951035841253</v>
      </c>
      <c r="AA129" s="21">
        <f>EXP(-LN(2)/25)*AA128+(1-EXP(-LN(2)/25))/(LN(2)/25)*Calculateur!V129*Calculateur!X129*VLOOKUP('Données projet'!$B$9,Paramètres!$A$1:$I$89,3,0)*0.475*44/12</f>
        <v>1.2873162193720149</v>
      </c>
      <c r="AB129" s="21">
        <f>EXP(-LN(2)/2)*AB128+(1-EXP(-LN(2)/2))/(LN(2)/2)*V129*Y129*VLOOKUP('Données projet'!$B$9,Paramètres!$A$1:$I$89,3,0)*0.475*44/12</f>
        <v>8.5698849697265776E-14</v>
      </c>
      <c r="AC129" s="22">
        <f t="shared" si="57"/>
        <v>1.7991157297305131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-7.4487616075202836E-14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191.94797389630673</v>
      </c>
      <c r="AO129" s="59">
        <f t="shared" si="90"/>
        <v>273.52540822767878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0.98098865500264798</v>
      </c>
      <c r="AW129" s="21">
        <f>EXP(-LN(2)/2)*AW128+(1-EXP(-LN(2)/2))/(LN(2)/2)*AQ129*AT129*VLOOKUP('Données projet'!$B$10,Paramètres!$A$1:$I$89,3,0)*0.475*44/12</f>
        <v>8.2433839024778075E-14</v>
      </c>
      <c r="AX129" s="21">
        <f t="shared" si="60"/>
        <v>1.3656137415751135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1.8178525351686402E-14</v>
      </c>
      <c r="BF129" s="13">
        <f t="shared" si="91"/>
        <v>3.3304129621647644E-13</v>
      </c>
      <c r="BG129" s="20">
        <f t="shared" si="61"/>
        <v>6.1170785589788349E-13</v>
      </c>
      <c r="BH129" s="59">
        <f t="shared" si="62"/>
        <v>293.33333333333394</v>
      </c>
      <c r="BI129" s="59">
        <f ca="1">AVERAGE(OFFSET($BH$3,0,0,'Données projet'!$E$11+1,1))-AVERAGE(OFFSET($H$3,0,0,'Données projet'!$E$11+1,1))</f>
        <v>64.256756080189803</v>
      </c>
      <c r="BJ129" s="59">
        <f t="shared" si="92"/>
        <v>209.76343043971747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5.1730631732912942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2.6237089766362975E-15</v>
      </c>
      <c r="BS129" s="22">
        <f t="shared" si="63"/>
        <v>5.1730631732912968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235.10258076192054</v>
      </c>
      <c r="T130" s="59">
        <f t="shared" si="88"/>
        <v>233.47316052603765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0.50176343412716151</v>
      </c>
      <c r="AA130" s="21">
        <f>EXP(-LN(2)/25)*AA129+(1-EXP(-LN(2)/25))/(LN(2)/25)*Calculateur!V130*Calculateur!X130*VLOOKUP('Données projet'!$B$9,Paramètres!$A$1:$I$89,3,0)*0.475*44/12</f>
        <v>1.2521144896562695</v>
      </c>
      <c r="AB130" s="21">
        <f>EXP(-LN(2)/2)*AB129+(1-EXP(-LN(2)/2))/(LN(2)/2)*V130*Y130*VLOOKUP('Données projet'!$B$9,Paramètres!$A$1:$I$89,3,0)*0.475*44/12</f>
        <v>6.0598237760823334E-14</v>
      </c>
      <c r="AC130" s="22">
        <f t="shared" si="57"/>
        <v>1.7538779237834916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-7.4487616075202836E-14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191.94797389630673</v>
      </c>
      <c r="AO130" s="59">
        <f t="shared" si="90"/>
        <v>273.52540822767878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0.95416346864364932</v>
      </c>
      <c r="AW130" s="21">
        <f>EXP(-LN(2)/2)*AW129+(1-EXP(-LN(2)/2))/(LN(2)/2)*AQ130*AT130*VLOOKUP('Données projet'!$B$10,Paramètres!$A$1:$I$89,3,0)*0.475*44/12</f>
        <v>5.8289526573660831E-14</v>
      </c>
      <c r="AX130" s="21">
        <f t="shared" si="60"/>
        <v>1.3312462918665446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1.8178525351686402E-14</v>
      </c>
      <c r="BF130" s="13">
        <f t="shared" si="91"/>
        <v>3.3304129621647644E-13</v>
      </c>
      <c r="BG130" s="20">
        <f t="shared" si="61"/>
        <v>6.1170785589788349E-13</v>
      </c>
      <c r="BH130" s="59">
        <f t="shared" si="62"/>
        <v>293.33333333333394</v>
      </c>
      <c r="BI130" s="59">
        <f ca="1">AVERAGE(OFFSET($BH$3,0,0,'Données projet'!$E$11+1,1))-AVERAGE(OFFSET($H$3,0,0,'Données projet'!$E$11+1,1))</f>
        <v>64.256756080189803</v>
      </c>
      <c r="BJ130" s="59">
        <f t="shared" si="92"/>
        <v>209.76343043971747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5.0716225597200317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1.8552424092395429E-15</v>
      </c>
      <c r="BS130" s="22">
        <f t="shared" si="63"/>
        <v>5.0716225597200335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235.10258076192054</v>
      </c>
      <c r="T131" s="59">
        <f t="shared" si="88"/>
        <v>233.47316052603765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0.49192415922940319</v>
      </c>
      <c r="AA131" s="21">
        <f>EXP(-LN(2)/25)*AA130+(1-EXP(-LN(2)/25))/(LN(2)/25)*Calculateur!V131*Calculateur!X131*VLOOKUP('Données projet'!$B$9,Paramètres!$A$1:$I$89,3,0)*0.475*44/12</f>
        <v>1.2178753530907795</v>
      </c>
      <c r="AB131" s="21">
        <f>EXP(-LN(2)/2)*AB130+(1-EXP(-LN(2)/2))/(LN(2)/2)*V131*Y131*VLOOKUP('Données projet'!$B$9,Paramètres!$A$1:$I$89,3,0)*0.475*44/12</f>
        <v>4.2849424848632888E-14</v>
      </c>
      <c r="AC131" s="22">
        <f t="shared" si="57"/>
        <v>1.7097995123202256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-7.4487616075202836E-14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191.94797389630673</v>
      </c>
      <c r="AO131" s="59">
        <f t="shared" si="90"/>
        <v>273.52540822767878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0.9280718184163127</v>
      </c>
      <c r="AW131" s="21">
        <f>EXP(-LN(2)/2)*AW130+(1-EXP(-LN(2)/2))/(LN(2)/2)*AQ131*AT131*VLOOKUP('Données projet'!$B$10,Paramètres!$A$1:$I$89,3,0)*0.475*44/12</f>
        <v>4.1216919512389038E-14</v>
      </c>
      <c r="AX131" s="21">
        <f t="shared" si="60"/>
        <v>1.2977602774736028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1.8178525351686402E-14</v>
      </c>
      <c r="BF131" s="13">
        <f t="shared" si="91"/>
        <v>3.3304129621647644E-13</v>
      </c>
      <c r="BG131" s="20">
        <f t="shared" si="61"/>
        <v>6.1170785589788349E-13</v>
      </c>
      <c r="BH131" s="59">
        <f t="shared" si="62"/>
        <v>293.33333333333394</v>
      </c>
      <c r="BI131" s="59">
        <f ca="1">AVERAGE(OFFSET($BH$3,0,0,'Données projet'!$E$11+1,1))-AVERAGE(OFFSET($H$3,0,0,'Données projet'!$E$11+1,1))</f>
        <v>64.256756080189803</v>
      </c>
      <c r="BJ131" s="59">
        <f t="shared" si="92"/>
        <v>209.76343043971747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4.9721711347082369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1.3118544883181487E-15</v>
      </c>
      <c r="BS131" s="22">
        <f t="shared" si="63"/>
        <v>4.9721711347082378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235.10258076192054</v>
      </c>
      <c r="T132" s="59">
        <f t="shared" si="88"/>
        <v>233.47316052603765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0.48227782651102485</v>
      </c>
      <c r="AA132" s="21">
        <f>EXP(-LN(2)/25)*AA131+(1-EXP(-LN(2)/25))/(LN(2)/25)*Calculateur!V132*Calculateur!X132*VLOOKUP('Données projet'!$B$9,Paramètres!$A$1:$I$89,3,0)*0.475*44/12</f>
        <v>1.1845724875152308</v>
      </c>
      <c r="AB132" s="21">
        <f>EXP(-LN(2)/2)*AB131+(1-EXP(-LN(2)/2))/(LN(2)/2)*V132*Y132*VLOOKUP('Données projet'!$B$9,Paramètres!$A$1:$I$89,3,0)*0.475*44/12</f>
        <v>3.0299118880411667E-14</v>
      </c>
      <c r="AC132" s="22">
        <f t="shared" ref="AC132:AC153" si="111">SUM(Z132:AB132)</f>
        <v>1.6668503140262858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-7.4487616075202836E-14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191.94797389630673</v>
      </c>
      <c r="AO132" s="59">
        <f t="shared" si="90"/>
        <v>273.52540822767878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0.90269364573654287</v>
      </c>
      <c r="AW132" s="21">
        <f>EXP(-LN(2)/2)*AW131+(1-EXP(-LN(2)/2))/(LN(2)/2)*AQ132*AT132*VLOOKUP('Données projet'!$B$10,Paramètres!$A$1:$I$89,3,0)*0.475*44/12</f>
        <v>2.9144763286830415E-14</v>
      </c>
      <c r="AX132" s="21">
        <f t="shared" ref="AX132:AX153" si="114">SUM(AU132:AW132)</f>
        <v>1.265132739599403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1.8178525351686402E-14</v>
      </c>
      <c r="BF132" s="13">
        <f t="shared" si="91"/>
        <v>3.3304129621647644E-13</v>
      </c>
      <c r="BG132" s="20">
        <f t="shared" ref="BG132:BG153" si="115">(BE132+BF132)*0.475*44/12</f>
        <v>6.1170785589788349E-13</v>
      </c>
      <c r="BH132" s="59">
        <f t="shared" ref="BH132:BH195" si="116">BG132+(AY132+AZ132)*44/12</f>
        <v>293.33333333333394</v>
      </c>
      <c r="BI132" s="59">
        <f ca="1">AVERAGE(OFFSET($BH$3,0,0,'Données projet'!$E$11+1,1))-AVERAGE(OFFSET($H$3,0,0,'Données projet'!$E$11+1,1))</f>
        <v>64.256756080189803</v>
      </c>
      <c r="BJ132" s="59">
        <f t="shared" si="92"/>
        <v>209.76343043971747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4.8746698914815436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9.2762120461977146E-16</v>
      </c>
      <c r="BS132" s="22">
        <f t="shared" ref="BS132:BS153" si="117">SUM(BP132:BR132)</f>
        <v>4.8746698914815445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235.10258076192054</v>
      </c>
      <c r="T133" s="59">
        <f t="shared" ref="T133:T196" si="142">$T$3</f>
        <v>233.47316052603765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0.47282065249357191</v>
      </c>
      <c r="AA133" s="21">
        <f>EXP(-LN(2)/25)*AA132+(1-EXP(-LN(2)/25))/(LN(2)/25)*Calculateur!V133*Calculateur!X133*VLOOKUP('Données projet'!$B$9,Paramètres!$A$1:$I$89,3,0)*0.475*44/12</f>
        <v>1.152180290550167</v>
      </c>
      <c r="AB133" s="21">
        <f>EXP(-LN(2)/2)*AB132+(1-EXP(-LN(2)/2))/(LN(2)/2)*V133*Y133*VLOOKUP('Données projet'!$B$9,Paramètres!$A$1:$I$89,3,0)*0.475*44/12</f>
        <v>2.1424712424316444E-14</v>
      </c>
      <c r="AC133" s="22">
        <f t="shared" si="111"/>
        <v>1.6250009430437602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-7.4487616075202836E-14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191.94797389630673</v>
      </c>
      <c r="AO133" s="59">
        <f t="shared" ref="AO133:AO196" si="144">$AO$3</f>
        <v>273.52540822767878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0.87800944052328145</v>
      </c>
      <c r="AW133" s="21">
        <f>EXP(-LN(2)/2)*AW132+(1-EXP(-LN(2)/2))/(LN(2)/2)*AQ133*AT133*VLOOKUP('Données projet'!$B$10,Paramètres!$A$1:$I$89,3,0)*0.475*44/12</f>
        <v>2.0608459756194519E-14</v>
      </c>
      <c r="AX133" s="21">
        <f t="shared" si="114"/>
        <v>1.2333413248215017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1.8178525351686402E-14</v>
      </c>
      <c r="BF133" s="13">
        <f t="shared" ref="BF133:BF153" si="145">EXP(-1.0587+0.8836*LN(BE133)+0.284)</f>
        <v>3.3304129621647644E-13</v>
      </c>
      <c r="BG133" s="20">
        <f t="shared" si="115"/>
        <v>6.1170785589788349E-13</v>
      </c>
      <c r="BH133" s="59">
        <f t="shared" si="116"/>
        <v>293.33333333333394</v>
      </c>
      <c r="BI133" s="59">
        <f ca="1">AVERAGE(OFFSET($BH$3,0,0,'Données projet'!$E$11+1,1))-AVERAGE(OFFSET($H$3,0,0,'Données projet'!$E$11+1,1))</f>
        <v>64.256756080189803</v>
      </c>
      <c r="BJ133" s="59">
        <f t="shared" ref="BJ133:BJ196" si="146">$BJ$3</f>
        <v>209.76343043971747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4.7790805881646401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6.5592724415907437E-16</v>
      </c>
      <c r="BS133" s="22">
        <f t="shared" si="117"/>
        <v>4.779080588164641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235.10258076192054</v>
      </c>
      <c r="T134" s="59">
        <f t="shared" si="142"/>
        <v>233.47316052603765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0.46354892789029462</v>
      </c>
      <c r="AA134" s="21">
        <f>EXP(-LN(2)/25)*AA133+(1-EXP(-LN(2)/25))/(LN(2)/25)*Calculateur!V134*Calculateur!X134*VLOOKUP('Données projet'!$B$9,Paramètres!$A$1:$I$89,3,0)*0.475*44/12</f>
        <v>1.1206738599145445</v>
      </c>
      <c r="AB134" s="21">
        <f>EXP(-LN(2)/2)*AB133+(1-EXP(-LN(2)/2))/(LN(2)/2)*V134*Y134*VLOOKUP('Données projet'!$B$9,Paramètres!$A$1:$I$89,3,0)*0.475*44/12</f>
        <v>1.5149559440205834E-14</v>
      </c>
      <c r="AC134" s="22">
        <f t="shared" si="111"/>
        <v>1.5842227878048543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-7.4487616075202836E-14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191.94797389630673</v>
      </c>
      <c r="AO134" s="59">
        <f t="shared" si="144"/>
        <v>273.52540822767878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0.85400022619966254</v>
      </c>
      <c r="AW134" s="21">
        <f>EXP(-LN(2)/2)*AW133+(1-EXP(-LN(2)/2))/(LN(2)/2)*AQ134*AT134*VLOOKUP('Données projet'!$B$10,Paramètres!$A$1:$I$89,3,0)*0.475*44/12</f>
        <v>1.4572381643415208E-14</v>
      </c>
      <c r="AX134" s="21">
        <f t="shared" si="114"/>
        <v>1.2023642689778382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1.8178525351686402E-14</v>
      </c>
      <c r="BF134" s="13">
        <f t="shared" si="145"/>
        <v>3.3304129621647644E-13</v>
      </c>
      <c r="BG134" s="20">
        <f t="shared" si="115"/>
        <v>6.1170785589788349E-13</v>
      </c>
      <c r="BH134" s="59">
        <f t="shared" si="116"/>
        <v>293.33333333333394</v>
      </c>
      <c r="BI134" s="59">
        <f ca="1">AVERAGE(OFFSET($BH$3,0,0,'Données projet'!$E$11+1,1))-AVERAGE(OFFSET($H$3,0,0,'Données projet'!$E$11+1,1))</f>
        <v>64.256756080189803</v>
      </c>
      <c r="BJ134" s="59">
        <f t="shared" si="146"/>
        <v>209.76343043971747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4.6853657327820626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4.6381060230988573E-16</v>
      </c>
      <c r="BS134" s="22">
        <f t="shared" si="117"/>
        <v>4.6853657327820635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235.10258076192054</v>
      </c>
      <c r="T135" s="59">
        <f t="shared" si="142"/>
        <v>233.47316052603765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0.45445901615129397</v>
      </c>
      <c r="AA135" s="21">
        <f>EXP(-LN(2)/25)*AA134+(1-EXP(-LN(2)/25))/(LN(2)/25)*Calculateur!V135*Calculateur!X135*VLOOKUP('Données projet'!$B$9,Paramètres!$A$1:$I$89,3,0)*0.475*44/12</f>
        <v>1.0900289742815044</v>
      </c>
      <c r="AB135" s="21">
        <f>EXP(-LN(2)/2)*AB134+(1-EXP(-LN(2)/2))/(LN(2)/2)*V135*Y135*VLOOKUP('Données projet'!$B$9,Paramètres!$A$1:$I$89,3,0)*0.475*44/12</f>
        <v>1.0712356212158222E-14</v>
      </c>
      <c r="AC135" s="22">
        <f t="shared" si="111"/>
        <v>1.544487990432809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-7.4487616075202836E-14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191.94797389630673</v>
      </c>
      <c r="AO135" s="59">
        <f t="shared" si="144"/>
        <v>273.52540822767878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0.83064754510431271</v>
      </c>
      <c r="AW135" s="21">
        <f>EXP(-LN(2)/2)*AW134+(1-EXP(-LN(2)/2))/(LN(2)/2)*AQ135*AT135*VLOOKUP('Données projet'!$B$10,Paramètres!$A$1:$I$89,3,0)*0.475*44/12</f>
        <v>1.0304229878097259E-14</v>
      </c>
      <c r="AX135" s="21">
        <f t="shared" si="114"/>
        <v>1.1721803814846896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1.8178525351686402E-14</v>
      </c>
      <c r="BF135" s="13">
        <f t="shared" si="145"/>
        <v>3.3304129621647644E-13</v>
      </c>
      <c r="BG135" s="20">
        <f t="shared" si="115"/>
        <v>6.1170785589788349E-13</v>
      </c>
      <c r="BH135" s="59">
        <f t="shared" si="116"/>
        <v>293.33333333333394</v>
      </c>
      <c r="BI135" s="59">
        <f ca="1">AVERAGE(OFFSET($BH$3,0,0,'Données projet'!$E$11+1,1))-AVERAGE(OFFSET($H$3,0,0,'Données projet'!$E$11+1,1))</f>
        <v>64.256756080189803</v>
      </c>
      <c r="BJ135" s="59">
        <f t="shared" si="146"/>
        <v>209.76343043971747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4.5934885685531199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3.2796362207953718E-16</v>
      </c>
      <c r="BS135" s="22">
        <f t="shared" si="117"/>
        <v>4.5934885685531199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235.10258076192054</v>
      </c>
      <c r="T136" s="59">
        <f t="shared" si="142"/>
        <v>233.47316052603765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0.44554735203719648</v>
      </c>
      <c r="AA136" s="21">
        <f>EXP(-LN(2)/25)*AA135+(1-EXP(-LN(2)/25))/(LN(2)/25)*Calculateur!V136*Calculateur!X136*VLOOKUP('Données projet'!$B$9,Paramètres!$A$1:$I$89,3,0)*0.475*44/12</f>
        <v>1.0602220746576441</v>
      </c>
      <c r="AB136" s="21">
        <f>EXP(-LN(2)/2)*AB135+(1-EXP(-LN(2)/2))/(LN(2)/2)*V136*Y136*VLOOKUP('Données projet'!$B$9,Paramètres!$A$1:$I$89,3,0)*0.475*44/12</f>
        <v>7.5747797201029168E-15</v>
      </c>
      <c r="AC136" s="22">
        <f t="shared" si="111"/>
        <v>1.505769426694848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-7.4487616075202836E-14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191.94797389630673</v>
      </c>
      <c r="AO136" s="59">
        <f t="shared" si="144"/>
        <v>273.52540822767878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0.80793344430157932</v>
      </c>
      <c r="AW136" s="21">
        <f>EXP(-LN(2)/2)*AW135+(1-EXP(-LN(2)/2))/(LN(2)/2)*AQ136*AT136*VLOOKUP('Données projet'!$B$10,Paramètres!$A$1:$I$89,3,0)*0.475*44/12</f>
        <v>7.2861908217076038E-15</v>
      </c>
      <c r="AX136" s="21">
        <f t="shared" si="114"/>
        <v>1.1427690300749951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1.8178525351686402E-14</v>
      </c>
      <c r="BF136" s="13">
        <f t="shared" si="145"/>
        <v>3.3304129621647644E-13</v>
      </c>
      <c r="BG136" s="20">
        <f t="shared" si="115"/>
        <v>6.1170785589788349E-13</v>
      </c>
      <c r="BH136" s="59">
        <f t="shared" si="116"/>
        <v>293.33333333333394</v>
      </c>
      <c r="BI136" s="59">
        <f ca="1">AVERAGE(OFFSET($BH$3,0,0,'Données projet'!$E$11+1,1))-AVERAGE(OFFSET($H$3,0,0,'Données projet'!$E$11+1,1))</f>
        <v>64.256756080189803</v>
      </c>
      <c r="BJ136" s="59">
        <f t="shared" si="146"/>
        <v>209.76343043971747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4.5034130594751698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2.3190530115494287E-16</v>
      </c>
      <c r="BS136" s="22">
        <f t="shared" si="117"/>
        <v>4.5034130594751698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235.10258076192054</v>
      </c>
      <c r="T137" s="59">
        <f t="shared" si="142"/>
        <v>233.47316052603765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0.43681044022079801</v>
      </c>
      <c r="AA137" s="21">
        <f>EXP(-LN(2)/25)*AA136+(1-EXP(-LN(2)/25))/(LN(2)/25)*Calculateur!V137*Calculateur!X137*VLOOKUP('Données projet'!$B$9,Paramètres!$A$1:$I$89,3,0)*0.475*44/12</f>
        <v>1.0312302462714751</v>
      </c>
      <c r="AB137" s="21">
        <f>EXP(-LN(2)/2)*AB136+(1-EXP(-LN(2)/2))/(LN(2)/2)*V137*Y137*VLOOKUP('Données projet'!$B$9,Paramètres!$A$1:$I$89,3,0)*0.475*44/12</f>
        <v>5.356178106079111E-15</v>
      </c>
      <c r="AC137" s="22">
        <f t="shared" si="111"/>
        <v>1.4680406864922784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-7.4487616075202836E-14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191.94797389630673</v>
      </c>
      <c r="AO137" s="59">
        <f t="shared" si="144"/>
        <v>273.52540822767878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0.7858404617797794</v>
      </c>
      <c r="AW137" s="21">
        <f>EXP(-LN(2)/2)*AW136+(1-EXP(-LN(2)/2))/(LN(2)/2)*AQ137*AT137*VLOOKUP('Données projet'!$B$10,Paramètres!$A$1:$I$89,3,0)*0.475*44/12</f>
        <v>5.1521149390486297E-15</v>
      </c>
      <c r="AX137" s="21">
        <f t="shared" si="114"/>
        <v>1.1141101259457178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1.8178525351686402E-14</v>
      </c>
      <c r="BF137" s="13">
        <f t="shared" si="145"/>
        <v>3.3304129621647644E-13</v>
      </c>
      <c r="BG137" s="20">
        <f t="shared" si="115"/>
        <v>6.1170785589788349E-13</v>
      </c>
      <c r="BH137" s="59">
        <f t="shared" si="116"/>
        <v>293.33333333333394</v>
      </c>
      <c r="BI137" s="59">
        <f ca="1">AVERAGE(OFFSET($BH$3,0,0,'Données projet'!$E$11+1,1))-AVERAGE(OFFSET($H$3,0,0,'Données projet'!$E$11+1,1))</f>
        <v>64.256756080189803</v>
      </c>
      <c r="BJ137" s="59">
        <f t="shared" si="146"/>
        <v>209.76343043971747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4.4151038761896029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1.6398181103976859E-16</v>
      </c>
      <c r="BS137" s="22">
        <f t="shared" si="117"/>
        <v>4.4151038761896029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235.10258076192054</v>
      </c>
      <c r="T138" s="59">
        <f t="shared" si="142"/>
        <v>233.47316052603765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0.4282448539161291</v>
      </c>
      <c r="AA138" s="21">
        <f>EXP(-LN(2)/25)*AA137+(1-EXP(-LN(2)/25))/(LN(2)/25)*Calculateur!V138*Calculateur!X138*VLOOKUP('Données projet'!$B$9,Paramètres!$A$1:$I$89,3,0)*0.475*44/12</f>
        <v>1.0030312009571398</v>
      </c>
      <c r="AB138" s="21">
        <f>EXP(-LN(2)/2)*AB137+(1-EXP(-LN(2)/2))/(LN(2)/2)*V138*Y138*VLOOKUP('Données projet'!$B$9,Paramètres!$A$1:$I$89,3,0)*0.475*44/12</f>
        <v>3.7873898600514584E-15</v>
      </c>
      <c r="AC138" s="22">
        <f t="shared" si="111"/>
        <v>1.4312760548732728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-7.4487616075202836E-14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191.94797389630673</v>
      </c>
      <c r="AO138" s="59">
        <f t="shared" si="144"/>
        <v>273.52540822767878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0.7643516130268575</v>
      </c>
      <c r="AW138" s="21">
        <f>EXP(-LN(2)/2)*AW137+(1-EXP(-LN(2)/2))/(LN(2)/2)*AQ138*AT138*VLOOKUP('Données projet'!$B$10,Paramètres!$A$1:$I$89,3,0)*0.475*44/12</f>
        <v>3.6430954108538019E-15</v>
      </c>
      <c r="AX138" s="21">
        <f t="shared" si="114"/>
        <v>1.086184109303225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1.8178525351686402E-14</v>
      </c>
      <c r="BF138" s="13">
        <f t="shared" si="145"/>
        <v>3.3304129621647644E-13</v>
      </c>
      <c r="BG138" s="20">
        <f t="shared" si="115"/>
        <v>6.1170785589788349E-13</v>
      </c>
      <c r="BH138" s="59">
        <f t="shared" si="116"/>
        <v>293.33333333333394</v>
      </c>
      <c r="BI138" s="59">
        <f ca="1">AVERAGE(OFFSET($BH$3,0,0,'Données projet'!$E$11+1,1))-AVERAGE(OFFSET($H$3,0,0,'Données projet'!$E$11+1,1))</f>
        <v>64.256756080189803</v>
      </c>
      <c r="BJ138" s="59">
        <f t="shared" si="146"/>
        <v>209.76343043971747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4.3285263821249824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1.1595265057747143E-16</v>
      </c>
      <c r="BS138" s="22">
        <f t="shared" si="117"/>
        <v>4.3285263821249824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235.10258076192054</v>
      </c>
      <c r="T139" s="59">
        <f t="shared" si="142"/>
        <v>233.47316052603765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0.41984723353440301</v>
      </c>
      <c r="AA139" s="21">
        <f>EXP(-LN(2)/25)*AA138+(1-EXP(-LN(2)/25))/(LN(2)/25)*Calculateur!V139*Calculateur!X139*VLOOKUP('Données projet'!$B$9,Paramètres!$A$1:$I$89,3,0)*0.475*44/12</f>
        <v>0.97560326001984843</v>
      </c>
      <c r="AB139" s="21">
        <f>EXP(-LN(2)/2)*AB138+(1-EXP(-LN(2)/2))/(LN(2)/2)*V139*Y139*VLOOKUP('Données projet'!$B$9,Paramètres!$A$1:$I$89,3,0)*0.475*44/12</f>
        <v>2.6780890530395555E-15</v>
      </c>
      <c r="AC139" s="22">
        <f t="shared" si="111"/>
        <v>1.3954504935542542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-7.4487616075202836E-14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191.94797389630673</v>
      </c>
      <c r="AO139" s="59">
        <f t="shared" si="144"/>
        <v>273.52540822767878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0.74345037797313374</v>
      </c>
      <c r="AW139" s="21">
        <f>EXP(-LN(2)/2)*AW138+(1-EXP(-LN(2)/2))/(LN(2)/2)*AQ139*AT139*VLOOKUP('Données projet'!$B$10,Paramètres!$A$1:$I$89,3,0)*0.475*44/12</f>
        <v>2.5760574695243149E-15</v>
      </c>
      <c r="AX139" s="21">
        <f t="shared" si="114"/>
        <v>1.0589719352959608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1.8178525351686402E-14</v>
      </c>
      <c r="BF139" s="13">
        <f t="shared" si="145"/>
        <v>3.3304129621647644E-13</v>
      </c>
      <c r="BG139" s="20">
        <f t="shared" si="115"/>
        <v>6.1170785589788349E-13</v>
      </c>
      <c r="BH139" s="59">
        <f t="shared" si="116"/>
        <v>293.33333333333394</v>
      </c>
      <c r="BI139" s="59">
        <f ca="1">AVERAGE(OFFSET($BH$3,0,0,'Données projet'!$E$11+1,1))-AVERAGE(OFFSET($H$3,0,0,'Données projet'!$E$11+1,1))</f>
        <v>64.256756080189803</v>
      </c>
      <c r="BJ139" s="59">
        <f t="shared" si="146"/>
        <v>209.76343043971747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4.2436466199119121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8.1990905519884296E-17</v>
      </c>
      <c r="BS139" s="22">
        <f t="shared" si="117"/>
        <v>4.2436466199119121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235.10258076192054</v>
      </c>
      <c r="T140" s="59">
        <f t="shared" si="142"/>
        <v>233.47316052603765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0.41161428536631989</v>
      </c>
      <c r="AA140" s="21">
        <f>EXP(-LN(2)/25)*AA139+(1-EXP(-LN(2)/25))/(LN(2)/25)*Calculateur!V140*Calculateur!X140*VLOOKUP('Données projet'!$B$9,Paramètres!$A$1:$I$89,3,0)*0.475*44/12</f>
        <v>0.94892533756985997</v>
      </c>
      <c r="AB140" s="21">
        <f>EXP(-LN(2)/2)*AB139+(1-EXP(-LN(2)/2))/(LN(2)/2)*V140*Y140*VLOOKUP('Données projet'!$B$9,Paramètres!$A$1:$I$89,3,0)*0.475*44/12</f>
        <v>1.8936949300257292E-15</v>
      </c>
      <c r="AC140" s="22">
        <f t="shared" si="111"/>
        <v>1.3605396229361819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-7.4487616075202836E-14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191.94797389630673</v>
      </c>
      <c r="AO140" s="59">
        <f t="shared" si="144"/>
        <v>273.52540822767878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0.72312068829110221</v>
      </c>
      <c r="AW140" s="21">
        <f>EXP(-LN(2)/2)*AW139+(1-EXP(-LN(2)/2))/(LN(2)/2)*AQ140*AT140*VLOOKUP('Données projet'!$B$10,Paramètres!$A$1:$I$89,3,0)*0.475*44/12</f>
        <v>1.821547705426901E-15</v>
      </c>
      <c r="AX140" s="21">
        <f t="shared" si="114"/>
        <v>1.0324550603239748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1.8178525351686402E-14</v>
      </c>
      <c r="BF140" s="13">
        <f t="shared" si="145"/>
        <v>3.3304129621647644E-13</v>
      </c>
      <c r="BG140" s="20">
        <f t="shared" si="115"/>
        <v>6.1170785589788349E-13</v>
      </c>
      <c r="BH140" s="59">
        <f t="shared" si="116"/>
        <v>293.33333333333394</v>
      </c>
      <c r="BI140" s="59">
        <f ca="1">AVERAGE(OFFSET($BH$3,0,0,'Données projet'!$E$11+1,1))-AVERAGE(OFFSET($H$3,0,0,'Données projet'!$E$11+1,1))</f>
        <v>64.256756080189803</v>
      </c>
      <c r="BJ140" s="59">
        <f t="shared" si="146"/>
        <v>209.76343043971747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4.1604312980642977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5.7976325288735716E-17</v>
      </c>
      <c r="BS140" s="22">
        <f t="shared" si="117"/>
        <v>4.1604312980642977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235.10258076192054</v>
      </c>
      <c r="T141" s="59">
        <f t="shared" si="142"/>
        <v>233.47316052603765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0.40354278029021035</v>
      </c>
      <c r="AA141" s="21">
        <f>EXP(-LN(2)/25)*AA140+(1-EXP(-LN(2)/25))/(LN(2)/25)*Calculateur!V141*Calculateur!X141*VLOOKUP('Données projet'!$B$9,Paramètres!$A$1:$I$89,3,0)*0.475*44/12</f>
        <v>0.92297692431219747</v>
      </c>
      <c r="AB141" s="21">
        <f>EXP(-LN(2)/2)*AB140+(1-EXP(-LN(2)/2))/(LN(2)/2)*V141*Y141*VLOOKUP('Données projet'!$B$9,Paramètres!$A$1:$I$89,3,0)*0.475*44/12</f>
        <v>1.3390445265197777E-15</v>
      </c>
      <c r="AC141" s="22">
        <f t="shared" si="111"/>
        <v>1.3265197046024091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-7.4487616075202836E-14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191.94797389630673</v>
      </c>
      <c r="AO141" s="59">
        <f t="shared" si="144"/>
        <v>273.52540822767878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0.70334691504251778</v>
      </c>
      <c r="AW141" s="21">
        <f>EXP(-LN(2)/2)*AW140+(1-EXP(-LN(2)/2))/(LN(2)/2)*AQ141*AT141*VLOOKUP('Données projet'!$B$10,Paramètres!$A$1:$I$89,3,0)*0.475*44/12</f>
        <v>1.2880287347621574E-15</v>
      </c>
      <c r="AX141" s="21">
        <f t="shared" si="114"/>
        <v>1.0066154287151621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1.8178525351686402E-14</v>
      </c>
      <c r="BF141" s="13">
        <f t="shared" si="145"/>
        <v>3.3304129621647644E-13</v>
      </c>
      <c r="BG141" s="20">
        <f t="shared" si="115"/>
        <v>6.1170785589788349E-13</v>
      </c>
      <c r="BH141" s="59">
        <f t="shared" si="116"/>
        <v>293.33333333333394</v>
      </c>
      <c r="BI141" s="59">
        <f ca="1">AVERAGE(OFFSET($BH$3,0,0,'Données projet'!$E$11+1,1))-AVERAGE(OFFSET($H$3,0,0,'Données projet'!$E$11+1,1))</f>
        <v>64.256756080189803</v>
      </c>
      <c r="BJ141" s="59">
        <f t="shared" si="146"/>
        <v>209.76343043971747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4.07884777792178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4.0995452759942148E-17</v>
      </c>
      <c r="BS141" s="22">
        <f t="shared" si="117"/>
        <v>4.07884777792178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235.10258076192054</v>
      </c>
      <c r="T142" s="59">
        <f t="shared" si="142"/>
        <v>233.47316052603765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0.39562955250551129</v>
      </c>
      <c r="AA142" s="21">
        <f>EXP(-LN(2)/25)*AA141+(1-EXP(-LN(2)/25))/(LN(2)/25)*Calculateur!V142*Calculateur!X142*VLOOKUP('Données projet'!$B$9,Paramètres!$A$1:$I$89,3,0)*0.475*44/12</f>
        <v>0.8977380717796335</v>
      </c>
      <c r="AB142" s="21">
        <f>EXP(-LN(2)/2)*AB141+(1-EXP(-LN(2)/2))/(LN(2)/2)*V142*Y142*VLOOKUP('Données projet'!$B$9,Paramètres!$A$1:$I$89,3,0)*0.475*44/12</f>
        <v>9.468474650128646E-16</v>
      </c>
      <c r="AC142" s="22">
        <f t="shared" si="111"/>
        <v>1.2933676242851457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-7.4487616075202836E-14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191.94797389630673</v>
      </c>
      <c r="AO142" s="59">
        <f t="shared" si="144"/>
        <v>273.52540822767878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0.6841138566632734</v>
      </c>
      <c r="AW142" s="21">
        <f>EXP(-LN(2)/2)*AW141+(1-EXP(-LN(2)/2))/(LN(2)/2)*AQ142*AT142*VLOOKUP('Données projet'!$B$10,Paramètres!$A$1:$I$89,3,0)*0.475*44/12</f>
        <v>9.1077385271345048E-16</v>
      </c>
      <c r="AX142" s="21">
        <f t="shared" si="114"/>
        <v>0.98143545975832536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1.8178525351686402E-14</v>
      </c>
      <c r="BF142" s="13">
        <f t="shared" si="145"/>
        <v>3.3304129621647644E-13</v>
      </c>
      <c r="BG142" s="20">
        <f t="shared" si="115"/>
        <v>6.1170785589788349E-13</v>
      </c>
      <c r="BH142" s="59">
        <f t="shared" si="116"/>
        <v>293.33333333333394</v>
      </c>
      <c r="BI142" s="59">
        <f ca="1">AVERAGE(OFFSET($BH$3,0,0,'Données projet'!$E$11+1,1))-AVERAGE(OFFSET($H$3,0,0,'Données projet'!$E$11+1,1))</f>
        <v>64.256756080189803</v>
      </c>
      <c r="BJ142" s="59">
        <f t="shared" si="146"/>
        <v>209.76343043971747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3.9988640608482235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2.8988162644367858E-17</v>
      </c>
      <c r="BS142" s="22">
        <f t="shared" si="117"/>
        <v>3.9988640608482235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235.10258076192054</v>
      </c>
      <c r="T143" s="59">
        <f t="shared" si="142"/>
        <v>233.47316052603765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0.38787149829107787</v>
      </c>
      <c r="AA143" s="21">
        <f>EXP(-LN(2)/25)*AA142+(1-EXP(-LN(2)/25))/(LN(2)/25)*Calculateur!V143*Calculateur!X143*VLOOKUP('Données projet'!$B$9,Paramètres!$A$1:$I$89,3,0)*0.475*44/12</f>
        <v>0.87318937699682608</v>
      </c>
      <c r="AB143" s="21">
        <f>EXP(-LN(2)/2)*AB142+(1-EXP(-LN(2)/2))/(LN(2)/2)*V143*Y143*VLOOKUP('Données projet'!$B$9,Paramètres!$A$1:$I$89,3,0)*0.475*44/12</f>
        <v>6.6952226325988887E-16</v>
      </c>
      <c r="AC143" s="22">
        <f t="shared" si="111"/>
        <v>1.2610608752879047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-7.4487616075202836E-14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191.94797389630673</v>
      </c>
      <c r="AO143" s="59">
        <f t="shared" si="144"/>
        <v>273.52540822767878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0.66540672727683203</v>
      </c>
      <c r="AW143" s="21">
        <f>EXP(-LN(2)/2)*AW142+(1-EXP(-LN(2)/2))/(LN(2)/2)*AQ143*AT143*VLOOKUP('Données projet'!$B$10,Paramètres!$A$1:$I$89,3,0)*0.475*44/12</f>
        <v>6.4401436738107871E-16</v>
      </c>
      <c r="AX143" s="21">
        <f t="shared" si="114"/>
        <v>0.95689803508346105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1.8178525351686402E-14</v>
      </c>
      <c r="BF143" s="13">
        <f t="shared" si="145"/>
        <v>3.3304129621647644E-13</v>
      </c>
      <c r="BG143" s="20">
        <f t="shared" si="115"/>
        <v>6.1170785589788349E-13</v>
      </c>
      <c r="BH143" s="59">
        <f t="shared" si="116"/>
        <v>293.33333333333394</v>
      </c>
      <c r="BI143" s="59">
        <f ca="1">AVERAGE(OFFSET($BH$3,0,0,'Données projet'!$E$11+1,1))-AVERAGE(OFFSET($H$3,0,0,'Données projet'!$E$11+1,1))</f>
        <v>64.256756080189803</v>
      </c>
      <c r="BJ143" s="59">
        <f t="shared" si="146"/>
        <v>209.76343043971747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3.9204487756812294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2.0497726379971074E-17</v>
      </c>
      <c r="BS143" s="22">
        <f t="shared" si="117"/>
        <v>3.9204487756812294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235.10258076192054</v>
      </c>
      <c r="T144" s="59">
        <f t="shared" si="142"/>
        <v>233.47316052603765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0.38026557478784362</v>
      </c>
      <c r="AA144" s="21">
        <f>EXP(-LN(2)/25)*AA143+(1-EXP(-LN(2)/25))/(LN(2)/25)*Calculateur!V144*Calculateur!X144*VLOOKUP('Données projet'!$B$9,Paramètres!$A$1:$I$89,3,0)*0.475*44/12</f>
        <v>0.84931196756381422</v>
      </c>
      <c r="AB144" s="21">
        <f>EXP(-LN(2)/2)*AB143+(1-EXP(-LN(2)/2))/(LN(2)/2)*V144*Y144*VLOOKUP('Données projet'!$B$9,Paramètres!$A$1:$I$89,3,0)*0.475*44/12</f>
        <v>4.734237325064323E-16</v>
      </c>
      <c r="AC144" s="22">
        <f t="shared" si="111"/>
        <v>1.2295775423516582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-7.4487616075202836E-14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191.94797389630673</v>
      </c>
      <c r="AO144" s="59">
        <f t="shared" si="144"/>
        <v>273.52540822767878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0.64721114532722812</v>
      </c>
      <c r="AW144" s="21">
        <f>EXP(-LN(2)/2)*AW143+(1-EXP(-LN(2)/2))/(LN(2)/2)*AQ144*AT144*VLOOKUP('Données projet'!$B$10,Paramètres!$A$1:$I$89,3,0)*0.475*44/12</f>
        <v>4.5538692635672524E-16</v>
      </c>
      <c r="AX144" s="21">
        <f t="shared" si="114"/>
        <v>0.93298648637991111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1.8178525351686402E-14</v>
      </c>
      <c r="BF144" s="13">
        <f t="shared" si="145"/>
        <v>3.3304129621647644E-13</v>
      </c>
      <c r="BG144" s="20">
        <f t="shared" si="115"/>
        <v>6.1170785589788349E-13</v>
      </c>
      <c r="BH144" s="59">
        <f t="shared" si="116"/>
        <v>293.33333333333394</v>
      </c>
      <c r="BI144" s="59">
        <f ca="1">AVERAGE(OFFSET($BH$3,0,0,'Données projet'!$E$11+1,1))-AVERAGE(OFFSET($H$3,0,0,'Données projet'!$E$11+1,1))</f>
        <v>64.256756080189803</v>
      </c>
      <c r="BJ144" s="59">
        <f t="shared" si="146"/>
        <v>209.76343043971747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3.8435711664277585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1.4494081322183929E-17</v>
      </c>
      <c r="BS144" s="22">
        <f t="shared" si="117"/>
        <v>3.8435711664277585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235.10258076192054</v>
      </c>
      <c r="T145" s="59">
        <f t="shared" si="142"/>
        <v>233.47316052603765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0.37280879880535256</v>
      </c>
      <c r="AA145" s="21">
        <f>EXP(-LN(2)/25)*AA144+(1-EXP(-LN(2)/25))/(LN(2)/25)*Calculateur!V145*Calculateur!X145*VLOOKUP('Données projet'!$B$9,Paramètres!$A$1:$I$89,3,0)*0.475*44/12</f>
        <v>0.82608748714740643</v>
      </c>
      <c r="AB145" s="21">
        <f>EXP(-LN(2)/2)*AB144+(1-EXP(-LN(2)/2))/(LN(2)/2)*V145*Y145*VLOOKUP('Données projet'!$B$9,Paramètres!$A$1:$I$89,3,0)*0.475*44/12</f>
        <v>3.3476113162994444E-16</v>
      </c>
      <c r="AC145" s="22">
        <f t="shared" si="111"/>
        <v>1.1988962859527594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-7.4487616075202836E-14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191.94797389630673</v>
      </c>
      <c r="AO145" s="59">
        <f t="shared" si="144"/>
        <v>273.52540822767878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0.62951312252290015</v>
      </c>
      <c r="AW145" s="21">
        <f>EXP(-LN(2)/2)*AW144+(1-EXP(-LN(2)/2))/(LN(2)/2)*AQ145*AT145*VLOOKUP('Données projet'!$B$10,Paramètres!$A$1:$I$89,3,0)*0.475*44/12</f>
        <v>3.2200718369053936E-16</v>
      </c>
      <c r="AX145" s="21">
        <f t="shared" si="114"/>
        <v>0.90968458344328673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1.8178525351686402E-14</v>
      </c>
      <c r="BF145" s="13">
        <f t="shared" si="145"/>
        <v>3.3304129621647644E-13</v>
      </c>
      <c r="BG145" s="20">
        <f t="shared" si="115"/>
        <v>6.1170785589788349E-13</v>
      </c>
      <c r="BH145" s="59">
        <f t="shared" si="116"/>
        <v>293.33333333333394</v>
      </c>
      <c r="BI145" s="59">
        <f ca="1">AVERAGE(OFFSET($BH$3,0,0,'Données projet'!$E$11+1,1))-AVERAGE(OFFSET($H$3,0,0,'Données projet'!$E$11+1,1))</f>
        <v>64.256756080189803</v>
      </c>
      <c r="BJ145" s="59">
        <f t="shared" si="146"/>
        <v>209.76343043971747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3.7682010802010368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1.0248863189985537E-17</v>
      </c>
      <c r="BS145" s="22">
        <f t="shared" si="117"/>
        <v>3.7682010802010368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235.10258076192054</v>
      </c>
      <c r="T146" s="59">
        <f t="shared" si="142"/>
        <v>233.47316052603765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0.36549824565169386</v>
      </c>
      <c r="AA146" s="21">
        <f>EXP(-LN(2)/25)*AA145+(1-EXP(-LN(2)/25))/(LN(2)/25)*Calculateur!V146*Calculateur!X146*VLOOKUP('Données projet'!$B$9,Paramètres!$A$1:$I$89,3,0)*0.475*44/12</f>
        <v>0.80349808136930767</v>
      </c>
      <c r="AB146" s="21">
        <f>EXP(-LN(2)/2)*AB145+(1-EXP(-LN(2)/2))/(LN(2)/2)*V146*Y146*VLOOKUP('Données projet'!$B$9,Paramètres!$A$1:$I$89,3,0)*0.475*44/12</f>
        <v>2.3671186625321615E-16</v>
      </c>
      <c r="AC146" s="22">
        <f t="shared" si="111"/>
        <v>1.1689963270210018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-7.4487616075202836E-14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191.94797389630673</v>
      </c>
      <c r="AO146" s="59">
        <f t="shared" si="144"/>
        <v>273.52540822767878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0.61229905308285515</v>
      </c>
      <c r="AW146" s="21">
        <f>EXP(-LN(2)/2)*AW145+(1-EXP(-LN(2)/2))/(LN(2)/2)*AQ146*AT146*VLOOKUP('Données projet'!$B$10,Paramètres!$A$1:$I$89,3,0)*0.475*44/12</f>
        <v>2.2769346317836262E-16</v>
      </c>
      <c r="AX146" s="21">
        <f t="shared" si="114"/>
        <v>0.8869765225423103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1.8178525351686402E-14</v>
      </c>
      <c r="BF146" s="13">
        <f t="shared" si="145"/>
        <v>3.3304129621647644E-13</v>
      </c>
      <c r="BG146" s="20">
        <f t="shared" si="115"/>
        <v>6.1170785589788349E-13</v>
      </c>
      <c r="BH146" s="59">
        <f t="shared" si="116"/>
        <v>293.33333333333394</v>
      </c>
      <c r="BI146" s="59">
        <f ca="1">AVERAGE(OFFSET($BH$3,0,0,'Données projet'!$E$11+1,1))-AVERAGE(OFFSET($H$3,0,0,'Données projet'!$E$11+1,1))</f>
        <v>64.256756080189803</v>
      </c>
      <c r="BJ146" s="59">
        <f t="shared" si="146"/>
        <v>209.76343043971747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3.6943089553940078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7.2470406610919646E-18</v>
      </c>
      <c r="BS146" s="22">
        <f t="shared" si="117"/>
        <v>3.6943089553940078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235.10258076192054</v>
      </c>
      <c r="T147" s="59">
        <f t="shared" si="142"/>
        <v>233.47316052603765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0.35833104798638132</v>
      </c>
      <c r="AA147" s="21">
        <f>EXP(-LN(2)/25)*AA146+(1-EXP(-LN(2)/25))/(LN(2)/25)*Calculateur!V147*Calculateur!X147*VLOOKUP('Données projet'!$B$9,Paramètres!$A$1:$I$89,3,0)*0.475*44/12</f>
        <v>0.7815263840801363</v>
      </c>
      <c r="AB147" s="21">
        <f>EXP(-LN(2)/2)*AB146+(1-EXP(-LN(2)/2))/(LN(2)/2)*V147*Y147*VLOOKUP('Données projet'!$B$9,Paramètres!$A$1:$I$89,3,0)*0.475*44/12</f>
        <v>1.6738056581497222E-16</v>
      </c>
      <c r="AC147" s="22">
        <f t="shared" si="111"/>
        <v>1.1398574320665178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-7.4487616075202836E-14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191.94797389630673</v>
      </c>
      <c r="AO147" s="59">
        <f t="shared" si="144"/>
        <v>273.52540822767878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0.59555570327689666</v>
      </c>
      <c r="AW147" s="21">
        <f>EXP(-LN(2)/2)*AW146+(1-EXP(-LN(2)/2))/(LN(2)/2)*AQ147*AT147*VLOOKUP('Données projet'!$B$10,Paramètres!$A$1:$I$89,3,0)*0.475*44/12</f>
        <v>1.6100359184526968E-16</v>
      </c>
      <c r="AX147" s="21">
        <f t="shared" si="114"/>
        <v>0.86484691509696521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1.8178525351686402E-14</v>
      </c>
      <c r="BF147" s="13">
        <f t="shared" si="145"/>
        <v>3.3304129621647644E-13</v>
      </c>
      <c r="BG147" s="20">
        <f t="shared" si="115"/>
        <v>6.1170785589788349E-13</v>
      </c>
      <c r="BH147" s="59">
        <f t="shared" si="116"/>
        <v>293.33333333333394</v>
      </c>
      <c r="BI147" s="59">
        <f ca="1">AVERAGE(OFFSET($BH$3,0,0,'Données projet'!$E$11+1,1))-AVERAGE(OFFSET($H$3,0,0,'Données projet'!$E$11+1,1))</f>
        <v>64.256756080189803</v>
      </c>
      <c r="BJ147" s="59">
        <f t="shared" si="146"/>
        <v>209.76343043971747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3.6218658100846985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5.1244315949927685E-18</v>
      </c>
      <c r="BS147" s="22">
        <f t="shared" si="117"/>
        <v>3.6218658100846985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235.10258076192054</v>
      </c>
      <c r="T148" s="59">
        <f t="shared" si="142"/>
        <v>233.47316052603765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0.35130439469572661</v>
      </c>
      <c r="AA148" s="21">
        <f>EXP(-LN(2)/25)*AA147+(1-EXP(-LN(2)/25))/(LN(2)/25)*Calculateur!V148*Calculateur!X148*VLOOKUP('Données projet'!$B$9,Paramètres!$A$1:$I$89,3,0)*0.475*44/12</f>
        <v>0.76015550400877863</v>
      </c>
      <c r="AB148" s="21">
        <f>EXP(-LN(2)/2)*AB147+(1-EXP(-LN(2)/2))/(LN(2)/2)*V148*Y148*VLOOKUP('Données projet'!$B$9,Paramètres!$A$1:$I$89,3,0)*0.475*44/12</f>
        <v>1.1835593312660808E-16</v>
      </c>
      <c r="AC148" s="22">
        <f t="shared" si="111"/>
        <v>1.1114598987045055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-7.4487616075202836E-14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191.94797389630673</v>
      </c>
      <c r="AO148" s="59">
        <f t="shared" si="144"/>
        <v>273.52540822767878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0.57927020125187667</v>
      </c>
      <c r="AW148" s="21">
        <f>EXP(-LN(2)/2)*AW147+(1-EXP(-LN(2)/2))/(LN(2)/2)*AQ148*AT148*VLOOKUP('Données projet'!$B$10,Paramètres!$A$1:$I$89,3,0)*0.475*44/12</f>
        <v>1.1384673158918131E-16</v>
      </c>
      <c r="AX148" s="21">
        <f t="shared" si="114"/>
        <v>0.84328077665957435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1.8178525351686402E-14</v>
      </c>
      <c r="BF148" s="13">
        <f t="shared" si="145"/>
        <v>3.3304129621647644E-13</v>
      </c>
      <c r="BG148" s="20">
        <f t="shared" si="115"/>
        <v>6.1170785589788349E-13</v>
      </c>
      <c r="BH148" s="59">
        <f t="shared" si="116"/>
        <v>293.33333333333394</v>
      </c>
      <c r="BI148" s="59">
        <f ca="1">AVERAGE(OFFSET($BH$3,0,0,'Données projet'!$E$11+1,1))-AVERAGE(OFFSET($H$3,0,0,'Données projet'!$E$11+1,1))</f>
        <v>64.256756080189803</v>
      </c>
      <c r="BJ148" s="59">
        <f t="shared" si="146"/>
        <v>209.76343043971747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3.5508432306689492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3.6235203305459823E-18</v>
      </c>
      <c r="BS148" s="22">
        <f t="shared" si="117"/>
        <v>3.5508432306689492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235.10258076192054</v>
      </c>
      <c r="T149" s="59">
        <f t="shared" si="142"/>
        <v>233.47316052603765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0.34441552979026629</v>
      </c>
      <c r="AA149" s="21">
        <f>EXP(-LN(2)/25)*AA148+(1-EXP(-LN(2)/25))/(LN(2)/25)*Calculateur!V149*Calculateur!X149*VLOOKUP('Données projet'!$B$9,Paramètres!$A$1:$I$89,3,0)*0.475*44/12</f>
        <v>0.73936901177681802</v>
      </c>
      <c r="AB149" s="21">
        <f>EXP(-LN(2)/2)*AB148+(1-EXP(-LN(2)/2))/(LN(2)/2)*V149*Y149*VLOOKUP('Données projet'!$B$9,Paramètres!$A$1:$I$89,3,0)*0.475*44/12</f>
        <v>8.3690282907486109E-17</v>
      </c>
      <c r="AC149" s="22">
        <f t="shared" si="111"/>
        <v>1.0837845415670844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-7.4487616075202836E-14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191.94797389630673</v>
      </c>
      <c r="AO149" s="59">
        <f t="shared" si="144"/>
        <v>273.52540822767878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0.5634300271361482</v>
      </c>
      <c r="AW149" s="21">
        <f>EXP(-LN(2)/2)*AW148+(1-EXP(-LN(2)/2))/(LN(2)/2)*AQ149*AT149*VLOOKUP('Données projet'!$B$10,Paramètres!$A$1:$I$89,3,0)*0.475*44/12</f>
        <v>8.0501795922634839E-17</v>
      </c>
      <c r="AX149" s="21">
        <f t="shared" si="114"/>
        <v>0.82226351619065152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1.8178525351686402E-14</v>
      </c>
      <c r="BF149" s="13">
        <f t="shared" si="145"/>
        <v>3.3304129621647644E-13</v>
      </c>
      <c r="BG149" s="20">
        <f t="shared" si="115"/>
        <v>6.1170785589788349E-13</v>
      </c>
      <c r="BH149" s="59">
        <f t="shared" si="116"/>
        <v>293.33333333333394</v>
      </c>
      <c r="BI149" s="59">
        <f ca="1">AVERAGE(OFFSET($BH$3,0,0,'Données projet'!$E$11+1,1))-AVERAGE(OFFSET($H$3,0,0,'Données projet'!$E$11+1,1))</f>
        <v>64.256756080189803</v>
      </c>
      <c r="BJ149" s="59">
        <f t="shared" si="146"/>
        <v>209.76343043971747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3.4812133607160467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2.5622157974963842E-18</v>
      </c>
      <c r="BS149" s="22">
        <f t="shared" si="117"/>
        <v>3.4812133607160467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235.10258076192054</v>
      </c>
      <c r="T150" s="59">
        <f t="shared" si="142"/>
        <v>233.47316052603765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0.33766175132380938</v>
      </c>
      <c r="AA150" s="21">
        <f>EXP(-LN(2)/25)*AA149+(1-EXP(-LN(2)/25))/(LN(2)/25)*Calculateur!V150*Calculateur!X150*VLOOKUP('Données projet'!$B$9,Paramètres!$A$1:$I$89,3,0)*0.475*44/12</f>
        <v>0.71915092726805441</v>
      </c>
      <c r="AB150" s="21">
        <f>EXP(-LN(2)/2)*AB149+(1-EXP(-LN(2)/2))/(LN(2)/2)*V150*Y150*VLOOKUP('Données projet'!$B$9,Paramètres!$A$1:$I$89,3,0)*0.475*44/12</f>
        <v>5.9177966563304038E-17</v>
      </c>
      <c r="AC150" s="22">
        <f t="shared" si="111"/>
        <v>1.0568126785918639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-7.4487616075202836E-14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191.94797389630673</v>
      </c>
      <c r="AO150" s="59">
        <f t="shared" si="144"/>
        <v>273.52540822767878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0.54802300341461285</v>
      </c>
      <c r="AW150" s="21">
        <f>EXP(-LN(2)/2)*AW149+(1-EXP(-LN(2)/2))/(LN(2)/2)*AQ150*AT150*VLOOKUP('Données projet'!$B$10,Paramètres!$A$1:$I$89,3,0)*0.475*44/12</f>
        <v>5.6923365794590655E-17</v>
      </c>
      <c r="AX150" s="21">
        <f t="shared" si="114"/>
        <v>0.80178092562159697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1.8178525351686402E-14</v>
      </c>
      <c r="BF150" s="13">
        <f t="shared" si="145"/>
        <v>3.3304129621647644E-13</v>
      </c>
      <c r="BG150" s="20">
        <f t="shared" si="115"/>
        <v>6.1170785589788349E-13</v>
      </c>
      <c r="BH150" s="59">
        <f t="shared" si="116"/>
        <v>293.33333333333394</v>
      </c>
      <c r="BI150" s="59">
        <f ca="1">AVERAGE(OFFSET($BH$3,0,0,'Données projet'!$E$11+1,1))-AVERAGE(OFFSET($H$3,0,0,'Données projet'!$E$11+1,1))</f>
        <v>64.256756080189803</v>
      </c>
      <c r="BJ150" s="59">
        <f t="shared" si="146"/>
        <v>209.76343043971747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3.4129488900428937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1.8117601652729911E-18</v>
      </c>
      <c r="BS150" s="22">
        <f t="shared" si="117"/>
        <v>3.4129488900428937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235.10258076192054</v>
      </c>
      <c r="T151" s="59">
        <f t="shared" si="142"/>
        <v>233.47316052603765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0.33104041033368159</v>
      </c>
      <c r="AA151" s="21">
        <f>EXP(-LN(2)/25)*AA150+(1-EXP(-LN(2)/25))/(LN(2)/25)*Calculateur!V151*Calculateur!X151*VLOOKUP('Données projet'!$B$9,Paramètres!$A$1:$I$89,3,0)*0.475*44/12</f>
        <v>0.69948570734340587</v>
      </c>
      <c r="AB151" s="21">
        <f>EXP(-LN(2)/2)*AB150+(1-EXP(-LN(2)/2))/(LN(2)/2)*V151*Y151*VLOOKUP('Données projet'!$B$9,Paramètres!$A$1:$I$89,3,0)*0.475*44/12</f>
        <v>4.1845141453743055E-17</v>
      </c>
      <c r="AC151" s="22">
        <f t="shared" si="111"/>
        <v>1.0305261176770875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-7.4487616075202836E-14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191.94797389630673</v>
      </c>
      <c r="AO151" s="59">
        <f t="shared" si="144"/>
        <v>273.52540822767878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0.53303728556696306</v>
      </c>
      <c r="AW151" s="21">
        <f>EXP(-LN(2)/2)*AW150+(1-EXP(-LN(2)/2))/(LN(2)/2)*AQ151*AT151*VLOOKUP('Données projet'!$B$10,Paramètres!$A$1:$I$89,3,0)*0.475*44/12</f>
        <v>4.025089796131742E-17</v>
      </c>
      <c r="AX151" s="21">
        <f t="shared" si="114"/>
        <v>0.78181916969651777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1.8178525351686402E-14</v>
      </c>
      <c r="BF151" s="13">
        <f t="shared" si="145"/>
        <v>3.3304129621647644E-13</v>
      </c>
      <c r="BG151" s="20">
        <f t="shared" si="115"/>
        <v>6.1170785589788349E-13</v>
      </c>
      <c r="BH151" s="59">
        <f t="shared" si="116"/>
        <v>293.33333333333394</v>
      </c>
      <c r="BI151" s="59">
        <f ca="1">AVERAGE(OFFSET($BH$3,0,0,'Données projet'!$E$11+1,1))-AVERAGE(OFFSET($H$3,0,0,'Données projet'!$E$11+1,1))</f>
        <v>64.256756080189803</v>
      </c>
      <c r="BJ151" s="59">
        <f t="shared" si="146"/>
        <v>209.76343043971747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3.3460230440024255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1.2811078987481921E-18</v>
      </c>
      <c r="BS151" s="22">
        <f t="shared" si="117"/>
        <v>3.3460230440024255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235.10258076192054</v>
      </c>
      <c r="T152" s="59">
        <f t="shared" si="142"/>
        <v>233.47316052603765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0.324548909801751</v>
      </c>
      <c r="AA152" s="21">
        <f>EXP(-LN(2)/25)*AA151+(1-EXP(-LN(2)/25))/(LN(2)/25)*Calculateur!V152*Calculateur!X152*VLOOKUP('Données projet'!$B$9,Paramètres!$A$1:$I$89,3,0)*0.475*44/12</f>
        <v>0.68035823389174577</v>
      </c>
      <c r="AB152" s="21">
        <f>EXP(-LN(2)/2)*AB151+(1-EXP(-LN(2)/2))/(LN(2)/2)*V152*Y152*VLOOKUP('Données projet'!$B$9,Paramètres!$A$1:$I$89,3,0)*0.475*44/12</f>
        <v>2.9588983281652019E-17</v>
      </c>
      <c r="AC152" s="22">
        <f t="shared" si="111"/>
        <v>1.0049071436934969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-7.4487616075202836E-14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191.94797389630673</v>
      </c>
      <c r="AO152" s="59">
        <f t="shared" si="144"/>
        <v>273.52540822767878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0.51846135296192186</v>
      </c>
      <c r="AW152" s="21">
        <f>EXP(-LN(2)/2)*AW151+(1-EXP(-LN(2)/2))/(LN(2)/2)*AQ152*AT152*VLOOKUP('Données projet'!$B$10,Paramètres!$A$1:$I$89,3,0)*0.475*44/12</f>
        <v>2.8461682897295327E-17</v>
      </c>
      <c r="AX152" s="21">
        <f t="shared" si="114"/>
        <v>0.762364776085662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1.8178525351686402E-14</v>
      </c>
      <c r="BF152" s="13">
        <f t="shared" si="145"/>
        <v>3.3304129621647644E-13</v>
      </c>
      <c r="BG152" s="20">
        <f t="shared" si="115"/>
        <v>6.1170785589788349E-13</v>
      </c>
      <c r="BH152" s="59">
        <f t="shared" si="116"/>
        <v>293.33333333333394</v>
      </c>
      <c r="BI152" s="59">
        <f ca="1">AVERAGE(OFFSET($BH$3,0,0,'Données projet'!$E$11+1,1))-AVERAGE(OFFSET($H$3,0,0,'Données projet'!$E$11+1,1))</f>
        <v>64.256756080189803</v>
      </c>
      <c r="BJ152" s="59">
        <f t="shared" si="146"/>
        <v>209.76343043971747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3.2804095729820753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9.0588008263649557E-19</v>
      </c>
      <c r="BS152" s="22">
        <f t="shared" si="117"/>
        <v>3.2804095729820753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235.10258076192054</v>
      </c>
      <c r="T153" s="59">
        <f t="shared" si="142"/>
        <v>233.47316052603765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0.31818470363582718</v>
      </c>
      <c r="AA153" s="21">
        <f>EXP(-LN(2)/25)*AA152+(1-EXP(-LN(2)/25))/(LN(2)/25)*Calculateur!V153*Calculateur!X153*VLOOKUP('Données projet'!$B$9,Paramètres!$A$1:$I$89,3,0)*0.475*44/12</f>
        <v>0.66175380220749147</v>
      </c>
      <c r="AB153" s="21">
        <f>EXP(-LN(2)/2)*AB152+(1-EXP(-LN(2)/2))/(LN(2)/2)*V153*Y153*VLOOKUP('Données projet'!$B$9,Paramètres!$A$1:$I$89,3,0)*0.475*44/12</f>
        <v>2.0922570726871527E-17</v>
      </c>
      <c r="AC153" s="22">
        <f t="shared" si="111"/>
        <v>0.97993850584331865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-7.4487616075202836E-14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191.94797389630673</v>
      </c>
      <c r="AO153" s="59">
        <f t="shared" si="144"/>
        <v>273.52540822767878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0.50428400000048057</v>
      </c>
      <c r="AW153" s="21">
        <f>EXP(-LN(2)/2)*AW152+(1-EXP(-LN(2)/2))/(LN(2)/2)*AQ153*AT153*VLOOKUP('Données projet'!$B$10,Paramètres!$A$1:$I$89,3,0)*0.475*44/12</f>
        <v>2.012544898065871E-17</v>
      </c>
      <c r="AX153" s="21">
        <f t="shared" si="114"/>
        <v>0.7434046257631628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1.8178525351686402E-14</v>
      </c>
      <c r="BF153" s="13">
        <f t="shared" si="145"/>
        <v>3.3304129621647644E-13</v>
      </c>
      <c r="BG153" s="20">
        <f t="shared" si="115"/>
        <v>6.1170785589788349E-13</v>
      </c>
      <c r="BH153" s="59">
        <f t="shared" si="116"/>
        <v>293.33333333333394</v>
      </c>
      <c r="BI153" s="59">
        <f ca="1">AVERAGE(OFFSET($BH$3,0,0,'Données projet'!$E$11+1,1))-AVERAGE(OFFSET($H$3,0,0,'Données projet'!$E$11+1,1))</f>
        <v>64.256756080189803</v>
      </c>
      <c r="BJ153" s="59">
        <f t="shared" si="146"/>
        <v>209.76343043971747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3.2160827421081684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6.4055394937409606E-19</v>
      </c>
      <c r="BS153" s="22">
        <f t="shared" si="117"/>
        <v>3.2160827421081684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235.10258076192054</v>
      </c>
      <c r="T154" s="59">
        <f t="shared" si="142"/>
        <v>233.47316052603765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0.31194529567103468</v>
      </c>
      <c r="AA154" s="21">
        <f>EXP(-LN(2)/25)*AA153+(1-EXP(-LN(2)/25))/(LN(2)/25)*Calculateur!V154*Calculateur!X154*VLOOKUP('Données projet'!$B$9,Paramètres!$A$1:$I$89,3,0)*0.475*44/12</f>
        <v>0.64365810968600756</v>
      </c>
      <c r="AB154" s="21">
        <f>EXP(-LN(2)/2)*AB153+(1-EXP(-LN(2)/2))/(LN(2)/2)*V154*Y154*VLOOKUP('Données projet'!$B$9,Paramètres!$A$1:$I$89,3,0)*0.475*44/12</f>
        <v>1.4794491640826009E-17</v>
      </c>
      <c r="AC154" s="22">
        <f t="shared" ref="AC154:AC203" si="163">SUM(Z154:AB154)</f>
        <v>0.95560340535704225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-7.4487616075202836E-14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191.94797389630673</v>
      </c>
      <c r="AO154" s="59">
        <f t="shared" si="144"/>
        <v>273.52540822767878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0.49049432750132443</v>
      </c>
      <c r="AW154" s="21">
        <f>EXP(-LN(2)/2)*AW153+(1-EXP(-LN(2)/2))/(LN(2)/2)*AQ154*AT154*VLOOKUP('Données projet'!$B$10,Paramètres!$A$1:$I$89,3,0)*0.475*44/12</f>
        <v>1.4230841448647664E-17</v>
      </c>
      <c r="AX154" s="21">
        <f t="shared" ref="AX154:AX203" si="166">SUM(AU154:AW154)</f>
        <v>0.72492594364198082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1.8178525351686402E-14</v>
      </c>
      <c r="BF154" s="13">
        <f t="shared" ref="BF154:BF203" si="167">EXP(-1.0587+0.8836*LN(BE154)+0.284)</f>
        <v>3.3304129621647644E-13</v>
      </c>
      <c r="BG154" s="20">
        <f t="shared" ref="BG154:BG203" si="168">(BE154+BF154)*0.475*44/12</f>
        <v>6.1170785589788349E-13</v>
      </c>
      <c r="BH154" s="59">
        <f t="shared" si="116"/>
        <v>293.33333333333394</v>
      </c>
      <c r="BI154" s="59">
        <f ca="1">AVERAGE(OFFSET($BH$3,0,0,'Données projet'!$E$11+1,1))-AVERAGE(OFFSET($H$3,0,0,'Données projet'!$E$11+1,1))</f>
        <v>64.256756080189803</v>
      </c>
      <c r="BJ154" s="59">
        <f t="shared" si="146"/>
        <v>209.76343043971747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3.1530173211522063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4.5294004131824778E-19</v>
      </c>
      <c r="BS154" s="22">
        <f t="shared" ref="BS154:BS203" si="169">SUM(BP154:BR154)</f>
        <v>3.1530173211522063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235.10258076192054</v>
      </c>
      <c r="T155" s="59">
        <f t="shared" si="142"/>
        <v>233.47316052603765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0.30582823869076864</v>
      </c>
      <c r="AA155" s="21">
        <f>EXP(-LN(2)/25)*AA154+(1-EXP(-LN(2)/25))/(LN(2)/25)*Calculateur!V155*Calculateur!X155*VLOOKUP('Données projet'!$B$9,Paramètres!$A$1:$I$89,3,0)*0.475*44/12</f>
        <v>0.62605724482813485</v>
      </c>
      <c r="AB155" s="21">
        <f>EXP(-LN(2)/2)*AB154+(1-EXP(-LN(2)/2))/(LN(2)/2)*V155*Y155*VLOOKUP('Données projet'!$B$9,Paramètres!$A$1:$I$89,3,0)*0.475*44/12</f>
        <v>1.0461285363435764E-17</v>
      </c>
      <c r="AC155" s="22">
        <f t="shared" si="163"/>
        <v>0.93188548351890343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-7.4487616075202836E-14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191.94797389630673</v>
      </c>
      <c r="AO155" s="59">
        <f t="shared" si="144"/>
        <v>273.52540822767878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0.4770817343218251</v>
      </c>
      <c r="AW155" s="21">
        <f>EXP(-LN(2)/2)*AW154+(1-EXP(-LN(2)/2))/(LN(2)/2)*AQ155*AT155*VLOOKUP('Données projet'!$B$10,Paramètres!$A$1:$I$89,3,0)*0.475*44/12</f>
        <v>1.0062724490329355E-17</v>
      </c>
      <c r="AX155" s="21">
        <f t="shared" si="166"/>
        <v>0.70691628945912999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1.8178525351686402E-14</v>
      </c>
      <c r="BF155" s="13">
        <f t="shared" si="167"/>
        <v>3.3304129621647644E-13</v>
      </c>
      <c r="BG155" s="20">
        <f t="shared" si="168"/>
        <v>6.1170785589788349E-13</v>
      </c>
      <c r="BH155" s="59">
        <f t="shared" si="116"/>
        <v>293.33333333333394</v>
      </c>
      <c r="BI155" s="59">
        <f ca="1">AVERAGE(OFFSET($BH$3,0,0,'Données projet'!$E$11+1,1))-AVERAGE(OFFSET($H$3,0,0,'Données projet'!$E$11+1,1))</f>
        <v>64.256756080189803</v>
      </c>
      <c r="BJ155" s="59">
        <f t="shared" si="146"/>
        <v>209.76343043971747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3.091188574635082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3.2027697468704803E-19</v>
      </c>
      <c r="BS155" s="22">
        <f t="shared" si="169"/>
        <v>3.091188574635082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235.10258076192054</v>
      </c>
      <c r="T156" s="59">
        <f t="shared" si="142"/>
        <v>233.47316052603765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0.29983113346684931</v>
      </c>
      <c r="AA156" s="21">
        <f>EXP(-LN(2)/25)*AA155+(1-EXP(-LN(2)/25))/(LN(2)/25)*Calculateur!V156*Calculateur!X156*VLOOKUP('Données projet'!$B$9,Paramètres!$A$1:$I$89,3,0)*0.475*44/12</f>
        <v>0.60893767654538988</v>
      </c>
      <c r="AB156" s="21">
        <f>EXP(-LN(2)/2)*AB155+(1-EXP(-LN(2)/2))/(LN(2)/2)*V156*Y156*VLOOKUP('Données projet'!$B$9,Paramètres!$A$1:$I$89,3,0)*0.475*44/12</f>
        <v>7.3972458204130047E-18</v>
      </c>
      <c r="AC156" s="22">
        <f t="shared" si="163"/>
        <v>0.90876881001223919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-7.4487616075202836E-14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191.94797389630673</v>
      </c>
      <c r="AO156" s="59">
        <f t="shared" si="144"/>
        <v>273.52540822767878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0.46403590920815679</v>
      </c>
      <c r="AW156" s="21">
        <f>EXP(-LN(2)/2)*AW155+(1-EXP(-LN(2)/2))/(LN(2)/2)*AQ156*AT156*VLOOKUP('Données projet'!$B$10,Paramètres!$A$1:$I$89,3,0)*0.475*44/12</f>
        <v>7.1154207243238319E-18</v>
      </c>
      <c r="AX156" s="21">
        <f t="shared" si="166"/>
        <v>0.68936354890445561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1.8178525351686402E-14</v>
      </c>
      <c r="BF156" s="13">
        <f t="shared" si="167"/>
        <v>3.3304129621647644E-13</v>
      </c>
      <c r="BG156" s="20">
        <f t="shared" si="168"/>
        <v>6.1170785589788349E-13</v>
      </c>
      <c r="BH156" s="59">
        <f t="shared" si="116"/>
        <v>293.33333333333394</v>
      </c>
      <c r="BI156" s="59">
        <f ca="1">AVERAGE(OFFSET($BH$3,0,0,'Données projet'!$E$11+1,1))-AVERAGE(OFFSET($H$3,0,0,'Données projet'!$E$11+1,1))</f>
        <v>64.256756080189803</v>
      </c>
      <c r="BJ156" s="59">
        <f t="shared" si="146"/>
        <v>209.76343043971747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3.0305722521253471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2.2647002065912389E-19</v>
      </c>
      <c r="BS156" s="22">
        <f t="shared" si="169"/>
        <v>3.0305722521253471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235.10258076192054</v>
      </c>
      <c r="T157" s="59">
        <f t="shared" si="142"/>
        <v>233.47316052603765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0.29395162781849804</v>
      </c>
      <c r="AA157" s="21">
        <f>EXP(-LN(2)/25)*AA156+(1-EXP(-LN(2)/25))/(LN(2)/25)*Calculateur!V157*Calculateur!X157*VLOOKUP('Données projet'!$B$9,Paramètres!$A$1:$I$89,3,0)*0.475*44/12</f>
        <v>0.59228624375761552</v>
      </c>
      <c r="AB157" s="21">
        <f>EXP(-LN(2)/2)*AB156+(1-EXP(-LN(2)/2))/(LN(2)/2)*V157*Y157*VLOOKUP('Données projet'!$B$9,Paramètres!$A$1:$I$89,3,0)*0.475*44/12</f>
        <v>5.2306426817178818E-18</v>
      </c>
      <c r="AC157" s="22">
        <f t="shared" si="163"/>
        <v>0.88623787157611356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-7.4487616075202836E-14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191.94797389630673</v>
      </c>
      <c r="AO157" s="59">
        <f t="shared" si="144"/>
        <v>273.52540822767878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0.45134682286827182</v>
      </c>
      <c r="AW157" s="21">
        <f>EXP(-LN(2)/2)*AW156+(1-EXP(-LN(2)/2))/(LN(2)/2)*AQ157*AT157*VLOOKUP('Données projet'!$B$10,Paramètres!$A$1:$I$89,3,0)*0.475*44/12</f>
        <v>5.0313622451646775E-18</v>
      </c>
      <c r="AX157" s="21">
        <f t="shared" si="166"/>
        <v>0.67225592498641573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1.8178525351686402E-14</v>
      </c>
      <c r="BF157" s="13">
        <f t="shared" si="167"/>
        <v>3.3304129621647644E-13</v>
      </c>
      <c r="BG157" s="20">
        <f t="shared" si="168"/>
        <v>6.1170785589788349E-13</v>
      </c>
      <c r="BH157" s="59">
        <f t="shared" si="116"/>
        <v>293.33333333333394</v>
      </c>
      <c r="BI157" s="59">
        <f ca="1">AVERAGE(OFFSET($BH$3,0,0,'Données projet'!$E$11+1,1))-AVERAGE(OFFSET($H$3,0,0,'Données projet'!$E$11+1,1))</f>
        <v>64.256756080189803</v>
      </c>
      <c r="BJ157" s="59">
        <f t="shared" si="146"/>
        <v>209.76343043971747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2.971144578727722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1.6013848734352402E-19</v>
      </c>
      <c r="BS157" s="22">
        <f t="shared" si="169"/>
        <v>2.971144578727722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235.10258076192054</v>
      </c>
      <c r="T158" s="59">
        <f t="shared" si="142"/>
        <v>233.47316052603765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0.28818741568976658</v>
      </c>
      <c r="AA158" s="21">
        <f>EXP(-LN(2)/25)*AA157+(1-EXP(-LN(2)/25))/(LN(2)/25)*Calculateur!V158*Calculateur!X158*VLOOKUP('Données projet'!$B$9,Paramètres!$A$1:$I$89,3,0)*0.475*44/12</f>
        <v>0.57609014527508362</v>
      </c>
      <c r="AB158" s="21">
        <f>EXP(-LN(2)/2)*AB157+(1-EXP(-LN(2)/2))/(LN(2)/2)*V158*Y158*VLOOKUP('Données projet'!$B$9,Paramètres!$A$1:$I$89,3,0)*0.475*44/12</f>
        <v>3.6986229102065023E-18</v>
      </c>
      <c r="AC158" s="22">
        <f t="shared" si="163"/>
        <v>0.8642775609648502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-7.4487616075202836E-14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191.94797389630673</v>
      </c>
      <c r="AO158" s="59">
        <f t="shared" si="144"/>
        <v>273.52540822767878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0.43900472026164106</v>
      </c>
      <c r="AW158" s="21">
        <f>EXP(-LN(2)/2)*AW157+(1-EXP(-LN(2)/2))/(LN(2)/2)*AQ158*AT158*VLOOKUP('Données projet'!$B$10,Paramètres!$A$1:$I$89,3,0)*0.475*44/12</f>
        <v>3.5577103621619159E-18</v>
      </c>
      <c r="AX158" s="21">
        <f t="shared" si="166"/>
        <v>0.65558192962849593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1.8178525351686402E-14</v>
      </c>
      <c r="BF158" s="13">
        <f t="shared" si="167"/>
        <v>3.3304129621647644E-13</v>
      </c>
      <c r="BG158" s="20">
        <f t="shared" si="168"/>
        <v>6.1170785589788349E-13</v>
      </c>
      <c r="BH158" s="59">
        <f t="shared" si="116"/>
        <v>293.33333333333394</v>
      </c>
      <c r="BI158" s="59">
        <f ca="1">AVERAGE(OFFSET($BH$3,0,0,'Données projet'!$E$11+1,1))-AVERAGE(OFFSET($H$3,0,0,'Données projet'!$E$11+1,1))</f>
        <v>64.256756080189803</v>
      </c>
      <c r="BJ158" s="59">
        <f t="shared" si="146"/>
        <v>209.76343043971747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2.9128822457581225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1.1323501032956195E-19</v>
      </c>
      <c r="BS158" s="22">
        <f t="shared" si="169"/>
        <v>2.9128822457581225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235.10258076192054</v>
      </c>
      <c r="T159" s="59">
        <f t="shared" si="142"/>
        <v>233.47316052603765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0.2825362362450573</v>
      </c>
      <c r="AA159" s="21">
        <f>EXP(-LN(2)/25)*AA158+(1-EXP(-LN(2)/25))/(LN(2)/25)*Calculateur!V159*Calculateur!X159*VLOOKUP('Données projet'!$B$9,Paramètres!$A$1:$I$89,3,0)*0.475*44/12</f>
        <v>0.56033692995727236</v>
      </c>
      <c r="AB159" s="21">
        <f>EXP(-LN(2)/2)*AB158+(1-EXP(-LN(2)/2))/(LN(2)/2)*V159*Y159*VLOOKUP('Données projet'!$B$9,Paramètres!$A$1:$I$89,3,0)*0.475*44/12</f>
        <v>2.6153213408589409E-18</v>
      </c>
      <c r="AC159" s="22">
        <f t="shared" si="163"/>
        <v>0.84287316620232966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-7.4487616075202836E-14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191.94797389630673</v>
      </c>
      <c r="AO159" s="59">
        <f t="shared" si="144"/>
        <v>273.52540822767878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0.4270001130998316</v>
      </c>
      <c r="AW159" s="21">
        <f>EXP(-LN(2)/2)*AW158+(1-EXP(-LN(2)/2))/(LN(2)/2)*AQ159*AT159*VLOOKUP('Données projet'!$B$10,Paramètres!$A$1:$I$89,3,0)*0.475*44/12</f>
        <v>2.5156811225823387E-18</v>
      </c>
      <c r="AX159" s="21">
        <f t="shared" si="166"/>
        <v>0.63933037549005645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1.8178525351686402E-14</v>
      </c>
      <c r="BF159" s="13">
        <f t="shared" si="167"/>
        <v>3.3304129621647644E-13</v>
      </c>
      <c r="BG159" s="20">
        <f t="shared" si="168"/>
        <v>6.1170785589788349E-13</v>
      </c>
      <c r="BH159" s="59">
        <f t="shared" si="116"/>
        <v>293.33333333333394</v>
      </c>
      <c r="BI159" s="59">
        <f ca="1">AVERAGE(OFFSET($BH$3,0,0,'Données projet'!$E$11+1,1))-AVERAGE(OFFSET($H$3,0,0,'Données projet'!$E$11+1,1))</f>
        <v>64.256756080189803</v>
      </c>
      <c r="BJ159" s="59">
        <f t="shared" si="146"/>
        <v>209.76343043971747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2.8557624016015426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8.0069243671762008E-20</v>
      </c>
      <c r="BS159" s="22">
        <f t="shared" si="169"/>
        <v>2.8557624016015426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235.10258076192054</v>
      </c>
      <c r="T160" s="59">
        <f t="shared" si="142"/>
        <v>233.47316052603765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0.27699587298237965</v>
      </c>
      <c r="AA160" s="21">
        <f>EXP(-LN(2)/25)*AA159+(1-EXP(-LN(2)/25))/(LN(2)/25)*Calculateur!V160*Calculateur!X160*VLOOKUP('Données projet'!$B$9,Paramètres!$A$1:$I$89,3,0)*0.475*44/12</f>
        <v>0.54501448714075229</v>
      </c>
      <c r="AB160" s="21">
        <f>EXP(-LN(2)/2)*AB159+(1-EXP(-LN(2)/2))/(LN(2)/2)*V160*Y160*VLOOKUP('Données projet'!$B$9,Paramètres!$A$1:$I$89,3,0)*0.475*44/12</f>
        <v>1.8493114551032512E-18</v>
      </c>
      <c r="AC160" s="22">
        <f t="shared" si="163"/>
        <v>0.82201036012313189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-7.4487616075202836E-14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191.94797389630673</v>
      </c>
      <c r="AO160" s="59">
        <f t="shared" si="144"/>
        <v>273.52540822767878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0.41532377255215669</v>
      </c>
      <c r="AW160" s="21">
        <f>EXP(-LN(2)/2)*AW159+(1-EXP(-LN(2)/2))/(LN(2)/2)*AQ160*AT160*VLOOKUP('Données projet'!$B$10,Paramètres!$A$1:$I$89,3,0)*0.475*44/12</f>
        <v>1.778855181080958E-18</v>
      </c>
      <c r="AX160" s="21">
        <f t="shared" si="166"/>
        <v>0.62349036800558133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1.8178525351686402E-14</v>
      </c>
      <c r="BF160" s="13">
        <f t="shared" si="167"/>
        <v>3.3304129621647644E-13</v>
      </c>
      <c r="BG160" s="20">
        <f t="shared" si="168"/>
        <v>6.1170785589788349E-13</v>
      </c>
      <c r="BH160" s="59">
        <f t="shared" si="116"/>
        <v>293.33333333333394</v>
      </c>
      <c r="BI160" s="59">
        <f ca="1">AVERAGE(OFFSET($BH$3,0,0,'Données projet'!$E$11+1,1))-AVERAGE(OFFSET($H$3,0,0,'Données projet'!$E$11+1,1))</f>
        <v>64.256756080189803</v>
      </c>
      <c r="BJ160" s="59">
        <f t="shared" si="146"/>
        <v>209.76343043971747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2.7997626427492088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5.6617505164780973E-20</v>
      </c>
      <c r="BS160" s="22">
        <f t="shared" si="169"/>
        <v>2.7997626427492088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235.10258076192054</v>
      </c>
      <c r="T161" s="59">
        <f t="shared" si="142"/>
        <v>233.47316052603765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0.27156415286399521</v>
      </c>
      <c r="AA161" s="21">
        <f>EXP(-LN(2)/25)*AA160+(1-EXP(-LN(2)/25))/(LN(2)/25)*Calculateur!V161*Calculateur!X161*VLOOKUP('Données projet'!$B$9,Paramètres!$A$1:$I$89,3,0)*0.475*44/12</f>
        <v>0.53011103732882214</v>
      </c>
      <c r="AB161" s="21">
        <f>EXP(-LN(2)/2)*AB160+(1-EXP(-LN(2)/2))/(LN(2)/2)*V161*Y161*VLOOKUP('Données projet'!$B$9,Paramètres!$A$1:$I$89,3,0)*0.475*44/12</f>
        <v>1.3076606704294705E-18</v>
      </c>
      <c r="AC161" s="22">
        <f t="shared" si="163"/>
        <v>0.80167519019281741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-7.4487616075202836E-14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191.94797389630673</v>
      </c>
      <c r="AO161" s="59">
        <f t="shared" si="144"/>
        <v>273.52540822767878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0.40396672215078999</v>
      </c>
      <c r="AW161" s="21">
        <f>EXP(-LN(2)/2)*AW160+(1-EXP(-LN(2)/2))/(LN(2)/2)*AQ161*AT161*VLOOKUP('Données projet'!$B$10,Paramètres!$A$1:$I$89,3,0)*0.475*44/12</f>
        <v>1.2578405612911694E-18</v>
      </c>
      <c r="AX161" s="21">
        <f t="shared" si="166"/>
        <v>0.60805129763645904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1.8178525351686402E-14</v>
      </c>
      <c r="BF161" s="13">
        <f t="shared" si="167"/>
        <v>3.3304129621647644E-13</v>
      </c>
      <c r="BG161" s="20">
        <f t="shared" si="168"/>
        <v>6.1170785589788349E-13</v>
      </c>
      <c r="BH161" s="59">
        <f t="shared" si="116"/>
        <v>293.33333333333394</v>
      </c>
      <c r="BI161" s="59">
        <f ca="1">AVERAGE(OFFSET($BH$3,0,0,'Données projet'!$E$11+1,1))-AVERAGE(OFFSET($H$3,0,0,'Données projet'!$E$11+1,1))</f>
        <v>64.256756080189803</v>
      </c>
      <c r="BJ161" s="59">
        <f t="shared" si="146"/>
        <v>209.76343043971747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2.7448610050114888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4.0034621835881004E-20</v>
      </c>
      <c r="BS161" s="22">
        <f t="shared" si="169"/>
        <v>2.7448610050114888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235.10258076192054</v>
      </c>
      <c r="T162" s="59">
        <f t="shared" si="142"/>
        <v>233.47316052603765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0.26623894546411014</v>
      </c>
      <c r="AA162" s="21">
        <f>EXP(-LN(2)/25)*AA161+(1-EXP(-LN(2)/25))/(LN(2)/25)*Calculateur!V162*Calculateur!X162*VLOOKUP('Données projet'!$B$9,Paramètres!$A$1:$I$89,3,0)*0.475*44/12</f>
        <v>0.51561512313573765</v>
      </c>
      <c r="AB162" s="21">
        <f>EXP(-LN(2)/2)*AB161+(1-EXP(-LN(2)/2))/(LN(2)/2)*V162*Y162*VLOOKUP('Données projet'!$B$9,Paramètres!$A$1:$I$89,3,0)*0.475*44/12</f>
        <v>9.2465572755162559E-19</v>
      </c>
      <c r="AC162" s="22">
        <f t="shared" si="163"/>
        <v>0.78185406859984785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-7.4487616075202836E-14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191.94797389630673</v>
      </c>
      <c r="AO162" s="59">
        <f t="shared" si="144"/>
        <v>273.52540822767878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0.39292023088988998</v>
      </c>
      <c r="AW162" s="21">
        <f>EXP(-LN(2)/2)*AW161+(1-EXP(-LN(2)/2))/(LN(2)/2)*AQ162*AT162*VLOOKUP('Données projet'!$B$10,Paramètres!$A$1:$I$89,3,0)*0.475*44/12</f>
        <v>8.8942759054047898E-19</v>
      </c>
      <c r="AX162" s="21">
        <f t="shared" si="166"/>
        <v>0.59300283232958484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1.8178525351686402E-14</v>
      </c>
      <c r="BF162" s="13">
        <f t="shared" si="167"/>
        <v>3.3304129621647644E-13</v>
      </c>
      <c r="BG162" s="20">
        <f t="shared" si="168"/>
        <v>6.1170785589788349E-13</v>
      </c>
      <c r="BH162" s="59">
        <f t="shared" si="116"/>
        <v>293.33333333333394</v>
      </c>
      <c r="BI162" s="59">
        <f ca="1">AVERAGE(OFFSET($BH$3,0,0,'Données projet'!$E$11+1,1))-AVERAGE(OFFSET($H$3,0,0,'Données projet'!$E$11+1,1))</f>
        <v>64.256756080189803</v>
      </c>
      <c r="BJ162" s="59">
        <f t="shared" si="146"/>
        <v>209.76343043971747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2.6910359549031129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2.8308752582390487E-20</v>
      </c>
      <c r="BS162" s="22">
        <f t="shared" si="169"/>
        <v>2.6910359549031129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235.10258076192054</v>
      </c>
      <c r="T163" s="59">
        <f t="shared" si="142"/>
        <v>233.47316052603765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0.26101816213328105</v>
      </c>
      <c r="AA163" s="21">
        <f>EXP(-LN(2)/25)*AA162+(1-EXP(-LN(2)/25))/(LN(2)/25)*Calculateur!V163*Calculateur!X163*VLOOKUP('Données projet'!$B$9,Paramètres!$A$1:$I$89,3,0)*0.475*44/12</f>
        <v>0.50151560047857002</v>
      </c>
      <c r="AB163" s="21">
        <f>EXP(-LN(2)/2)*AB162+(1-EXP(-LN(2)/2))/(LN(2)/2)*V163*Y163*VLOOKUP('Données projet'!$B$9,Paramètres!$A$1:$I$89,3,0)*0.475*44/12</f>
        <v>6.5383033521473523E-19</v>
      </c>
      <c r="AC163" s="22">
        <f t="shared" si="163"/>
        <v>0.76253376261185113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-7.4487616075202836E-14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191.94797389630673</v>
      </c>
      <c r="AO163" s="59">
        <f t="shared" si="144"/>
        <v>273.52540822767878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0.38217580651342903</v>
      </c>
      <c r="AW163" s="21">
        <f>EXP(-LN(2)/2)*AW162+(1-EXP(-LN(2)/2))/(LN(2)/2)*AQ163*AT163*VLOOKUP('Données projet'!$B$10,Paramètres!$A$1:$I$89,3,0)*0.475*44/12</f>
        <v>6.2892028064558468E-19</v>
      </c>
      <c r="AX163" s="21">
        <f t="shared" si="166"/>
        <v>0.57833491017722805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1.8178525351686402E-14</v>
      </c>
      <c r="BF163" s="13">
        <f t="shared" si="167"/>
        <v>3.3304129621647644E-13</v>
      </c>
      <c r="BG163" s="20">
        <f t="shared" si="168"/>
        <v>6.1170785589788349E-13</v>
      </c>
      <c r="BH163" s="59">
        <f t="shared" si="116"/>
        <v>293.33333333333394</v>
      </c>
      <c r="BI163" s="59">
        <f ca="1">AVERAGE(OFFSET($BH$3,0,0,'Données projet'!$E$11+1,1))-AVERAGE(OFFSET($H$3,0,0,'Données projet'!$E$11+1,1))</f>
        <v>64.256756080189803</v>
      </c>
      <c r="BJ163" s="59">
        <f t="shared" si="146"/>
        <v>209.76343043971747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2.6382663811973237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2.0017310917940502E-20</v>
      </c>
      <c r="BS163" s="22">
        <f t="shared" si="169"/>
        <v>2.6382663811973237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235.10258076192054</v>
      </c>
      <c r="T164" s="59">
        <f t="shared" si="142"/>
        <v>233.47316052603765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0.2558997551792061</v>
      </c>
      <c r="AA164" s="21">
        <f>EXP(-LN(2)/25)*AA163+(1-EXP(-LN(2)/25))/(LN(2)/25)*Calculateur!V164*Calculateur!X164*VLOOKUP('Données projet'!$B$9,Paramètres!$A$1:$I$89,3,0)*0.475*44/12</f>
        <v>0.48780163000992433</v>
      </c>
      <c r="AB164" s="21">
        <f>EXP(-LN(2)/2)*AB163+(1-EXP(-LN(2)/2))/(LN(2)/2)*V164*Y164*VLOOKUP('Données projet'!$B$9,Paramètres!$A$1:$I$89,3,0)*0.475*44/12</f>
        <v>4.6232786377581279E-19</v>
      </c>
      <c r="AC164" s="22">
        <f t="shared" si="163"/>
        <v>0.74370138518913043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-7.4487616075202836E-14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191.94797389630673</v>
      </c>
      <c r="AO164" s="59">
        <f t="shared" si="144"/>
        <v>273.52540822767878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0.37172518898656715</v>
      </c>
      <c r="AW164" s="21">
        <f>EXP(-LN(2)/2)*AW163+(1-EXP(-LN(2)/2))/(LN(2)/2)*AQ164*AT164*VLOOKUP('Données projet'!$B$10,Paramètres!$A$1:$I$89,3,0)*0.475*44/12</f>
        <v>4.4471379527023949E-19</v>
      </c>
      <c r="AX164" s="21">
        <f t="shared" si="166"/>
        <v>0.56403773227275833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1.8178525351686402E-14</v>
      </c>
      <c r="BF164" s="13">
        <f t="shared" si="167"/>
        <v>3.3304129621647644E-13</v>
      </c>
      <c r="BG164" s="20">
        <f t="shared" si="168"/>
        <v>6.1170785589788349E-13</v>
      </c>
      <c r="BH164" s="59">
        <f t="shared" si="116"/>
        <v>293.33333333333394</v>
      </c>
      <c r="BI164" s="59">
        <f ca="1">AVERAGE(OFFSET($BH$3,0,0,'Données projet'!$E$11+1,1))-AVERAGE(OFFSET($H$3,0,0,'Données projet'!$E$11+1,1))</f>
        <v>64.256756080189803</v>
      </c>
      <c r="BJ164" s="59">
        <f t="shared" si="146"/>
        <v>209.76343043971747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2.5865315866456431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1.4154376291195243E-20</v>
      </c>
      <c r="BS164" s="22">
        <f t="shared" si="169"/>
        <v>2.5865315866456431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235.10258076192054</v>
      </c>
      <c r="T165" s="59">
        <f t="shared" si="142"/>
        <v>233.47316052603765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0.25088171706358059</v>
      </c>
      <c r="AA165" s="21">
        <f>EXP(-LN(2)/25)*AA164+(1-EXP(-LN(2)/25))/(LN(2)/25)*Calculateur!V165*Calculateur!X165*VLOOKUP('Données projet'!$B$9,Paramètres!$A$1:$I$89,3,0)*0.475*44/12</f>
        <v>0.4744626687849301</v>
      </c>
      <c r="AB165" s="21">
        <f>EXP(-LN(2)/2)*AB164+(1-EXP(-LN(2)/2))/(LN(2)/2)*V165*Y165*VLOOKUP('Données projet'!$B$9,Paramètres!$A$1:$I$89,3,0)*0.475*44/12</f>
        <v>3.2691516760736761E-19</v>
      </c>
      <c r="AC165" s="22">
        <f t="shared" si="163"/>
        <v>0.72534438584851069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-7.4487616075202836E-14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191.94797389630673</v>
      </c>
      <c r="AO165" s="59">
        <f t="shared" si="144"/>
        <v>273.52540822767878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0.36156034414555138</v>
      </c>
      <c r="AW165" s="21">
        <f>EXP(-LN(2)/2)*AW164+(1-EXP(-LN(2)/2))/(LN(2)/2)*AQ165*AT165*VLOOKUP('Données projet'!$B$10,Paramètres!$A$1:$I$89,3,0)*0.475*44/12</f>
        <v>3.1446014032279234E-19</v>
      </c>
      <c r="AX165" s="21">
        <f t="shared" si="166"/>
        <v>0.5501017557569694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1.8178525351686402E-14</v>
      </c>
      <c r="BF165" s="13">
        <f t="shared" si="167"/>
        <v>3.3304129621647644E-13</v>
      </c>
      <c r="BG165" s="20">
        <f t="shared" si="168"/>
        <v>6.1170785589788349E-13</v>
      </c>
      <c r="BH165" s="59">
        <f t="shared" si="116"/>
        <v>293.33333333333394</v>
      </c>
      <c r="BI165" s="59">
        <f ca="1">AVERAGE(OFFSET($BH$3,0,0,'Données projet'!$E$11+1,1))-AVERAGE(OFFSET($H$3,0,0,'Données projet'!$E$11+1,1))</f>
        <v>64.256756080189803</v>
      </c>
      <c r="BJ165" s="59">
        <f t="shared" si="146"/>
        <v>209.76343043971747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2.5358112798600119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1.0008655458970251E-20</v>
      </c>
      <c r="BS165" s="22">
        <f t="shared" si="169"/>
        <v>2.5358112798600119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235.10258076192054</v>
      </c>
      <c r="T166" s="59">
        <f t="shared" si="142"/>
        <v>233.47316052603765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0.24596207961470143</v>
      </c>
      <c r="AA166" s="21">
        <f>EXP(-LN(2)/25)*AA165+(1-EXP(-LN(2)/25))/(LN(2)/25)*Calculateur!V166*Calculateur!X166*VLOOKUP('Données projet'!$B$9,Paramètres!$A$1:$I$89,3,0)*0.475*44/12</f>
        <v>0.46148846215609884</v>
      </c>
      <c r="AB166" s="21">
        <f>EXP(-LN(2)/2)*AB165+(1-EXP(-LN(2)/2))/(LN(2)/2)*V166*Y166*VLOOKUP('Données projet'!$B$9,Paramètres!$A$1:$I$89,3,0)*0.475*44/12</f>
        <v>2.311639318879064E-19</v>
      </c>
      <c r="AC166" s="22">
        <f t="shared" si="163"/>
        <v>0.70745054177080025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-7.4487616075202836E-14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191.94797389630673</v>
      </c>
      <c r="AO166" s="59">
        <f t="shared" si="144"/>
        <v>273.52540822767878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0.35167345752125911</v>
      </c>
      <c r="AW166" s="21">
        <f>EXP(-LN(2)/2)*AW165+(1-EXP(-LN(2)/2))/(LN(2)/2)*AQ166*AT166*VLOOKUP('Données projet'!$B$10,Paramètres!$A$1:$I$89,3,0)*0.475*44/12</f>
        <v>2.2235689763511975E-19</v>
      </c>
      <c r="AX166" s="21">
        <f t="shared" si="166"/>
        <v>0.53651768704988312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1.8178525351686402E-14</v>
      </c>
      <c r="BF166" s="13">
        <f t="shared" si="167"/>
        <v>3.3304129621647644E-13</v>
      </c>
      <c r="BG166" s="20">
        <f t="shared" si="168"/>
        <v>6.1170785589788349E-13</v>
      </c>
      <c r="BH166" s="59">
        <f t="shared" si="116"/>
        <v>293.33333333333394</v>
      </c>
      <c r="BI166" s="59">
        <f ca="1">AVERAGE(OFFSET($BH$3,0,0,'Données projet'!$E$11+1,1))-AVERAGE(OFFSET($H$3,0,0,'Données projet'!$E$11+1,1))</f>
        <v>64.256756080189803</v>
      </c>
      <c r="BJ166" s="59">
        <f t="shared" si="146"/>
        <v>209.76343043971747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2.4860855673541145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7.0771881455976216E-21</v>
      </c>
      <c r="BS166" s="22">
        <f t="shared" si="169"/>
        <v>2.4860855673541145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235.10258076192054</v>
      </c>
      <c r="T167" s="59">
        <f t="shared" si="142"/>
        <v>233.47316052603765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0.24113891325551226</v>
      </c>
      <c r="AA167" s="21">
        <f>EXP(-LN(2)/25)*AA166+(1-EXP(-LN(2)/25))/(LN(2)/25)*Calculateur!V167*Calculateur!X167*VLOOKUP('Données projet'!$B$9,Paramètres!$A$1:$I$89,3,0)*0.475*44/12</f>
        <v>0.44886903588981686</v>
      </c>
      <c r="AB167" s="21">
        <f>EXP(-LN(2)/2)*AB166+(1-EXP(-LN(2)/2))/(LN(2)/2)*V167*Y167*VLOOKUP('Données projet'!$B$9,Paramètres!$A$1:$I$89,3,0)*0.475*44/12</f>
        <v>1.6345758380368381E-19</v>
      </c>
      <c r="AC167" s="22">
        <f t="shared" si="163"/>
        <v>0.69000794914532915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-7.4487616075202836E-14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191.94797389630673</v>
      </c>
      <c r="AO167" s="59">
        <f t="shared" si="144"/>
        <v>273.52540822767878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0.34205692833163692</v>
      </c>
      <c r="AW167" s="21">
        <f>EXP(-LN(2)/2)*AW166+(1-EXP(-LN(2)/2))/(LN(2)/2)*AQ167*AT167*VLOOKUP('Données projet'!$B$10,Paramètres!$A$1:$I$89,3,0)*0.475*44/12</f>
        <v>1.5723007016139617E-19</v>
      </c>
      <c r="AX167" s="21">
        <f t="shared" si="166"/>
        <v>0.5232764752630521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1.8178525351686402E-14</v>
      </c>
      <c r="BF167" s="13">
        <f t="shared" si="167"/>
        <v>3.3304129621647644E-13</v>
      </c>
      <c r="BG167" s="20">
        <f t="shared" si="168"/>
        <v>6.1170785589788349E-13</v>
      </c>
      <c r="BH167" s="59">
        <f t="shared" si="116"/>
        <v>293.33333333333394</v>
      </c>
      <c r="BI167" s="59">
        <f ca="1">AVERAGE(OFFSET($BH$3,0,0,'Données projet'!$E$11+1,1))-AVERAGE(OFFSET($H$3,0,0,'Données projet'!$E$11+1,1))</f>
        <v>64.256756080189803</v>
      </c>
      <c r="BJ167" s="59">
        <f t="shared" si="146"/>
        <v>209.76343043971747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2.4373349457407678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5.0043277294851255E-21</v>
      </c>
      <c r="BS167" s="22">
        <f t="shared" si="169"/>
        <v>2.4373349457407678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235.10258076192054</v>
      </c>
      <c r="T168" s="59">
        <f t="shared" si="142"/>
        <v>233.47316052603765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0.23641032624678579</v>
      </c>
      <c r="AA168" s="21">
        <f>EXP(-LN(2)/25)*AA167+(1-EXP(-LN(2)/25))/(LN(2)/25)*Calculateur!V168*Calculateur!X168*VLOOKUP('Données projet'!$B$9,Paramètres!$A$1:$I$89,3,0)*0.475*44/12</f>
        <v>0.4365946884984131</v>
      </c>
      <c r="AB168" s="21">
        <f>EXP(-LN(2)/2)*AB167+(1-EXP(-LN(2)/2))/(LN(2)/2)*V168*Y168*VLOOKUP('Données projet'!$B$9,Paramètres!$A$1:$I$89,3,0)*0.475*44/12</f>
        <v>1.155819659439532E-19</v>
      </c>
      <c r="AC168" s="22">
        <f t="shared" si="163"/>
        <v>0.67300501474519892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-7.4487616075202836E-14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191.94797389630673</v>
      </c>
      <c r="AO168" s="59">
        <f t="shared" si="144"/>
        <v>273.52540822767878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0.33270336363841624</v>
      </c>
      <c r="AW168" s="21">
        <f>EXP(-LN(2)/2)*AW167+(1-EXP(-LN(2)/2))/(LN(2)/2)*AQ168*AT168*VLOOKUP('Données projet'!$B$10,Paramètres!$A$1:$I$89,3,0)*0.475*44/12</f>
        <v>1.1117844881755987E-19</v>
      </c>
      <c r="AX168" s="21">
        <f t="shared" si="166"/>
        <v>0.51036930578751583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1.8178525351686402E-14</v>
      </c>
      <c r="BF168" s="13">
        <f t="shared" si="167"/>
        <v>3.3304129621647644E-13</v>
      </c>
      <c r="BG168" s="20">
        <f t="shared" si="168"/>
        <v>6.1170785589788349E-13</v>
      </c>
      <c r="BH168" s="59">
        <f t="shared" si="116"/>
        <v>293.33333333333394</v>
      </c>
      <c r="BI168" s="59">
        <f ca="1">AVERAGE(OFFSET($BH$3,0,0,'Données projet'!$E$11+1,1))-AVERAGE(OFFSET($H$3,0,0,'Données projet'!$E$11+1,1))</f>
        <v>64.256756080189803</v>
      </c>
      <c r="BJ168" s="59">
        <f t="shared" si="146"/>
        <v>209.76343043971747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2.3895402940823161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3.5385940727988108E-21</v>
      </c>
      <c r="BS168" s="22">
        <f t="shared" si="169"/>
        <v>2.3895402940823161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235.10258076192054</v>
      </c>
      <c r="T169" s="59">
        <f t="shared" si="142"/>
        <v>233.47316052603765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0.23177446394514714</v>
      </c>
      <c r="AA169" s="21">
        <f>EXP(-LN(2)/25)*AA168+(1-EXP(-LN(2)/25))/(LN(2)/25)*Calculateur!V169*Calculateur!X169*VLOOKUP('Données projet'!$B$9,Paramètres!$A$1:$I$89,3,0)*0.475*44/12</f>
        <v>0.42465598378190716</v>
      </c>
      <c r="AB169" s="21">
        <f>EXP(-LN(2)/2)*AB168+(1-EXP(-LN(2)/2))/(LN(2)/2)*V169*Y169*VLOOKUP('Données projet'!$B$9,Paramètres!$A$1:$I$89,3,0)*0.475*44/12</f>
        <v>8.1728791901841903E-20</v>
      </c>
      <c r="AC169" s="22">
        <f t="shared" si="163"/>
        <v>0.65643044772705428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-7.4487616075202836E-14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191.94797389630673</v>
      </c>
      <c r="AO169" s="59">
        <f t="shared" si="144"/>
        <v>273.52540822767878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0.32360557266361428</v>
      </c>
      <c r="AW169" s="21">
        <f>EXP(-LN(2)/2)*AW168+(1-EXP(-LN(2)/2))/(LN(2)/2)*AQ169*AT169*VLOOKUP('Données projet'!$B$10,Paramètres!$A$1:$I$89,3,0)*0.475*44/12</f>
        <v>7.8615035080698085E-20</v>
      </c>
      <c r="AX169" s="21">
        <f t="shared" si="166"/>
        <v>0.49778759405269446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1.8178525351686402E-14</v>
      </c>
      <c r="BF169" s="13">
        <f t="shared" si="167"/>
        <v>3.3304129621647644E-13</v>
      </c>
      <c r="BG169" s="20">
        <f t="shared" si="168"/>
        <v>6.1170785589788349E-13</v>
      </c>
      <c r="BH169" s="59">
        <f t="shared" si="116"/>
        <v>293.33333333333394</v>
      </c>
      <c r="BI169" s="59">
        <f ca="1">AVERAGE(OFFSET($BH$3,0,0,'Données projet'!$E$11+1,1))-AVERAGE(OFFSET($H$3,0,0,'Données projet'!$E$11+1,1))</f>
        <v>64.256756080189803</v>
      </c>
      <c r="BJ169" s="59">
        <f t="shared" si="146"/>
        <v>209.76343043971747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2.3426828663910273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2.5021638647425627E-21</v>
      </c>
      <c r="BS169" s="22">
        <f t="shared" si="169"/>
        <v>2.3426828663910273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235.10258076192054</v>
      </c>
      <c r="T170" s="59">
        <f t="shared" si="142"/>
        <v>233.47316052603765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0.22722950807564685</v>
      </c>
      <c r="AA170" s="21">
        <f>EXP(-LN(2)/25)*AA169+(1-EXP(-LN(2)/25))/(LN(2)/25)*Calculateur!V170*Calculateur!X170*VLOOKUP('Données projet'!$B$9,Paramètres!$A$1:$I$89,3,0)*0.475*44/12</f>
        <v>0.41304374357370327</v>
      </c>
      <c r="AB170" s="21">
        <f>EXP(-LN(2)/2)*AB169+(1-EXP(-LN(2)/2))/(LN(2)/2)*V170*Y170*VLOOKUP('Données projet'!$B$9,Paramètres!$A$1:$I$89,3,0)*0.475*44/12</f>
        <v>5.7790982971976599E-20</v>
      </c>
      <c r="AC170" s="22">
        <f t="shared" si="163"/>
        <v>0.64027325164935012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-7.4487616075202836E-14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191.94797389630673</v>
      </c>
      <c r="AO170" s="59">
        <f t="shared" si="144"/>
        <v>273.52540822767878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0.3147565612614503</v>
      </c>
      <c r="AW170" s="21">
        <f>EXP(-LN(2)/2)*AW169+(1-EXP(-LN(2)/2))/(LN(2)/2)*AQ170*AT170*VLOOKUP('Données projet'!$B$10,Paramètres!$A$1:$I$89,3,0)*0.475*44/12</f>
        <v>5.5589224408779937E-20</v>
      </c>
      <c r="AX170" s="21">
        <f t="shared" si="166"/>
        <v>0.48552297945163331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1.8178525351686402E-14</v>
      </c>
      <c r="BF170" s="13">
        <f t="shared" si="167"/>
        <v>3.3304129621647644E-13</v>
      </c>
      <c r="BG170" s="20">
        <f t="shared" si="168"/>
        <v>6.1170785589788349E-13</v>
      </c>
      <c r="BH170" s="59">
        <f t="shared" si="116"/>
        <v>293.33333333333394</v>
      </c>
      <c r="BI170" s="59">
        <f ca="1">AVERAGE(OFFSET($BH$3,0,0,'Données projet'!$E$11+1,1))-AVERAGE(OFFSET($H$3,0,0,'Données projet'!$E$11+1,1))</f>
        <v>64.256756080189803</v>
      </c>
      <c r="BJ170" s="59">
        <f t="shared" si="146"/>
        <v>209.76343043971747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2.296744284276556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1.7692970363994054E-21</v>
      </c>
      <c r="BS170" s="22">
        <f t="shared" si="169"/>
        <v>2.296744284276556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235.10258076192054</v>
      </c>
      <c r="T171" s="59">
        <f t="shared" si="142"/>
        <v>233.47316052603765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0.2227736760185981</v>
      </c>
      <c r="AA171" s="21">
        <f>EXP(-LN(2)/25)*AA170+(1-EXP(-LN(2)/25))/(LN(2)/25)*Calculateur!V171*Calculateur!X171*VLOOKUP('Données projet'!$B$9,Paramètres!$A$1:$I$89,3,0)*0.475*44/12</f>
        <v>0.40174904068465389</v>
      </c>
      <c r="AB171" s="21">
        <f>EXP(-LN(2)/2)*AB170+(1-EXP(-LN(2)/2))/(LN(2)/2)*V171*Y171*VLOOKUP('Données projet'!$B$9,Paramètres!$A$1:$I$89,3,0)*0.475*44/12</f>
        <v>4.0864395950920952E-20</v>
      </c>
      <c r="AC171" s="22">
        <f t="shared" si="163"/>
        <v>0.62452271670325199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-7.4487616075202836E-14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191.94797389630673</v>
      </c>
      <c r="AO171" s="59">
        <f t="shared" si="144"/>
        <v>273.52540822767878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0.30614952654142774</v>
      </c>
      <c r="AW171" s="21">
        <f>EXP(-LN(2)/2)*AW170+(1-EXP(-LN(2)/2))/(LN(2)/2)*AQ171*AT171*VLOOKUP('Données projet'!$B$10,Paramètres!$A$1:$I$89,3,0)*0.475*44/12</f>
        <v>3.9307517540349043E-20</v>
      </c>
      <c r="AX171" s="21">
        <f t="shared" si="166"/>
        <v>0.47356731942813168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1.8178525351686402E-14</v>
      </c>
      <c r="BF171" s="13">
        <f t="shared" si="167"/>
        <v>3.3304129621647644E-13</v>
      </c>
      <c r="BG171" s="20">
        <f t="shared" si="168"/>
        <v>6.1170785589788349E-13</v>
      </c>
      <c r="BH171" s="59">
        <f t="shared" si="116"/>
        <v>293.33333333333394</v>
      </c>
      <c r="BI171" s="59">
        <f ca="1">AVERAGE(OFFSET($BH$3,0,0,'Données projet'!$E$11+1,1))-AVERAGE(OFFSET($H$3,0,0,'Données projet'!$E$11+1,1))</f>
        <v>64.256756080189803</v>
      </c>
      <c r="BJ171" s="59">
        <f t="shared" si="146"/>
        <v>209.76343043971747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2.2517065297375813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1.2510819323712814E-21</v>
      </c>
      <c r="BS171" s="22">
        <f t="shared" si="169"/>
        <v>2.2517065297375813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235.10258076192054</v>
      </c>
      <c r="T172" s="59">
        <f t="shared" si="142"/>
        <v>233.47316052603765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0.21840522011039887</v>
      </c>
      <c r="AA172" s="21">
        <f>EXP(-LN(2)/25)*AA171+(1-EXP(-LN(2)/25))/(LN(2)/25)*Calculateur!V172*Calculateur!X172*VLOOKUP('Données projet'!$B$9,Paramètres!$A$1:$I$89,3,0)*0.475*44/12</f>
        <v>0.39076319204006821</v>
      </c>
      <c r="AB172" s="21">
        <f>EXP(-LN(2)/2)*AB171+(1-EXP(-LN(2)/2))/(LN(2)/2)*V172*Y172*VLOOKUP('Données projet'!$B$9,Paramètres!$A$1:$I$89,3,0)*0.475*44/12</f>
        <v>2.88954914859883E-20</v>
      </c>
      <c r="AC172" s="22">
        <f t="shared" si="163"/>
        <v>0.60916841215046702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-7.4487616075202836E-14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191.94797389630673</v>
      </c>
      <c r="AO172" s="59">
        <f t="shared" si="144"/>
        <v>273.52540822767878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0.2977778516384485</v>
      </c>
      <c r="AW172" s="21">
        <f>EXP(-LN(2)/2)*AW171+(1-EXP(-LN(2)/2))/(LN(2)/2)*AQ172*AT172*VLOOKUP('Données projet'!$B$10,Paramètres!$A$1:$I$89,3,0)*0.475*44/12</f>
        <v>2.7794612204389968E-20</v>
      </c>
      <c r="AX172" s="21">
        <f t="shared" si="166"/>
        <v>0.46191268372141481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1.8178525351686402E-14</v>
      </c>
      <c r="BF172" s="13">
        <f t="shared" si="167"/>
        <v>3.3304129621647644E-13</v>
      </c>
      <c r="BG172" s="20">
        <f t="shared" si="168"/>
        <v>6.1170785589788349E-13</v>
      </c>
      <c r="BH172" s="59">
        <f t="shared" si="116"/>
        <v>293.33333333333394</v>
      </c>
      <c r="BI172" s="59">
        <f ca="1">AVERAGE(OFFSET($BH$3,0,0,'Données projet'!$E$11+1,1))-AVERAGE(OFFSET($H$3,0,0,'Données projet'!$E$11+1,1))</f>
        <v>64.256756080189803</v>
      </c>
      <c r="BJ172" s="59">
        <f t="shared" si="146"/>
        <v>209.76343043971747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2.2075519380947979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8.846485181997027E-22</v>
      </c>
      <c r="BS172" s="22">
        <f t="shared" si="169"/>
        <v>2.2075519380947979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235.10258076192054</v>
      </c>
      <c r="T173" s="59">
        <f t="shared" si="142"/>
        <v>233.47316052603765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0.21412242695806441</v>
      </c>
      <c r="AA173" s="21">
        <f>EXP(-LN(2)/25)*AA172+(1-EXP(-LN(2)/25))/(LN(2)/25)*Calculateur!V173*Calculateur!X173*VLOOKUP('Données projet'!$B$9,Paramètres!$A$1:$I$89,3,0)*0.475*44/12</f>
        <v>0.38007775200438937</v>
      </c>
      <c r="AB173" s="21">
        <f>EXP(-LN(2)/2)*AB172+(1-EXP(-LN(2)/2))/(LN(2)/2)*V173*Y173*VLOOKUP('Données projet'!$B$9,Paramètres!$A$1:$I$89,3,0)*0.475*44/12</f>
        <v>2.0432197975460476E-20</v>
      </c>
      <c r="AC173" s="22">
        <f t="shared" si="163"/>
        <v>0.59420017896245381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-7.4487616075202836E-14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191.94797389630673</v>
      </c>
      <c r="AO173" s="59">
        <f t="shared" si="144"/>
        <v>273.52540822767878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0.2896351006259385</v>
      </c>
      <c r="AW173" s="21">
        <f>EXP(-LN(2)/2)*AW172+(1-EXP(-LN(2)/2))/(LN(2)/2)*AQ173*AT173*VLOOKUP('Données projet'!$B$10,Paramètres!$A$1:$I$89,3,0)*0.475*44/12</f>
        <v>1.9653758770174521E-20</v>
      </c>
      <c r="AX173" s="21">
        <f t="shared" si="166"/>
        <v>0.45055134876412017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1.8178525351686402E-14</v>
      </c>
      <c r="BF173" s="13">
        <f t="shared" si="167"/>
        <v>3.3304129621647644E-13</v>
      </c>
      <c r="BG173" s="20">
        <f t="shared" si="168"/>
        <v>6.1170785589788349E-13</v>
      </c>
      <c r="BH173" s="59">
        <f t="shared" si="116"/>
        <v>293.33333333333394</v>
      </c>
      <c r="BI173" s="59">
        <f ca="1">AVERAGE(OFFSET($BH$3,0,0,'Données projet'!$E$11+1,1))-AVERAGE(OFFSET($H$3,0,0,'Données projet'!$E$11+1,1))</f>
        <v>64.256756080189803</v>
      </c>
      <c r="BJ173" s="59">
        <f t="shared" si="146"/>
        <v>209.76343043971747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2.1642631910624881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6.2554096618564069E-22</v>
      </c>
      <c r="BS173" s="22">
        <f t="shared" si="169"/>
        <v>2.1642631910624881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235.10258076192054</v>
      </c>
      <c r="T174" s="59">
        <f t="shared" si="142"/>
        <v>233.47316052603765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0.20992361676720137</v>
      </c>
      <c r="AA174" s="21">
        <f>EXP(-LN(2)/25)*AA173+(1-EXP(-LN(2)/25))/(LN(2)/25)*Calculateur!V174*Calculateur!X174*VLOOKUP('Données projet'!$B$9,Paramètres!$A$1:$I$89,3,0)*0.475*44/12</f>
        <v>0.36968450588840907</v>
      </c>
      <c r="AB174" s="21">
        <f>EXP(-LN(2)/2)*AB173+(1-EXP(-LN(2)/2))/(LN(2)/2)*V174*Y174*VLOOKUP('Données projet'!$B$9,Paramètres!$A$1:$I$89,3,0)*0.475*44/12</f>
        <v>1.444774574299415E-20</v>
      </c>
      <c r="AC174" s="22">
        <f t="shared" si="163"/>
        <v>0.57960812265561046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-7.4487616075202836E-14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191.94797389630673</v>
      </c>
      <c r="AO174" s="59">
        <f t="shared" si="144"/>
        <v>273.52540822767878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0.28171501356807427</v>
      </c>
      <c r="AW174" s="21">
        <f>EXP(-LN(2)/2)*AW173+(1-EXP(-LN(2)/2))/(LN(2)/2)*AQ174*AT174*VLOOKUP('Données projet'!$B$10,Paramètres!$A$1:$I$89,3,0)*0.475*44/12</f>
        <v>1.3897306102194984E-20</v>
      </c>
      <c r="AX174" s="21">
        <f t="shared" si="166"/>
        <v>0.43947579222948613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1.8178525351686402E-14</v>
      </c>
      <c r="BF174" s="13">
        <f t="shared" si="167"/>
        <v>3.3304129621647644E-13</v>
      </c>
      <c r="BG174" s="20">
        <f t="shared" si="168"/>
        <v>6.1170785589788349E-13</v>
      </c>
      <c r="BH174" s="59">
        <f t="shared" si="116"/>
        <v>293.33333333333394</v>
      </c>
      <c r="BI174" s="59">
        <f ca="1">AVERAGE(OFFSET($BH$3,0,0,'Données projet'!$E$11+1,1))-AVERAGE(OFFSET($H$3,0,0,'Données projet'!$E$11+1,1))</f>
        <v>64.256756080189803</v>
      </c>
      <c r="BJ174" s="59">
        <f t="shared" si="146"/>
        <v>209.76343043971747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2.1218233099559534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4.4232425909985135E-22</v>
      </c>
      <c r="BS174" s="22">
        <f t="shared" si="169"/>
        <v>2.1218233099559534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235.10258076192054</v>
      </c>
      <c r="T175" s="59">
        <f t="shared" si="142"/>
        <v>233.47316052603765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0.2058071426831598</v>
      </c>
      <c r="AA175" s="21">
        <f>EXP(-LN(2)/25)*AA174+(1-EXP(-LN(2)/25))/(LN(2)/25)*Calculateur!V175*Calculateur!X175*VLOOKUP('Données projet'!$B$9,Paramètres!$A$1:$I$89,3,0)*0.475*44/12</f>
        <v>0.35957546363402726</v>
      </c>
      <c r="AB175" s="21">
        <f>EXP(-LN(2)/2)*AB174+(1-EXP(-LN(2)/2))/(LN(2)/2)*V175*Y175*VLOOKUP('Données projet'!$B$9,Paramètres!$A$1:$I$89,3,0)*0.475*44/12</f>
        <v>1.0216098987730238E-20</v>
      </c>
      <c r="AC175" s="22">
        <f t="shared" si="163"/>
        <v>0.56538260631718706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-7.4487616075202836E-14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191.94797389630673</v>
      </c>
      <c r="AO175" s="59">
        <f t="shared" si="144"/>
        <v>273.52540822767878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0.27401150170730659</v>
      </c>
      <c r="AW175" s="21">
        <f>EXP(-LN(2)/2)*AW174+(1-EXP(-LN(2)/2))/(LN(2)/2)*AQ175*AT175*VLOOKUP('Données projet'!$B$10,Paramètres!$A$1:$I$89,3,0)*0.475*44/12</f>
        <v>9.8268793850872607E-21</v>
      </c>
      <c r="AX175" s="21">
        <f t="shared" si="166"/>
        <v>0.42867868772374174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1.8178525351686402E-14</v>
      </c>
      <c r="BF175" s="13">
        <f t="shared" si="167"/>
        <v>3.3304129621647644E-13</v>
      </c>
      <c r="BG175" s="20">
        <f t="shared" si="168"/>
        <v>6.1170785589788349E-13</v>
      </c>
      <c r="BH175" s="59">
        <f t="shared" si="116"/>
        <v>293.33333333333394</v>
      </c>
      <c r="BI175" s="59">
        <f ca="1">AVERAGE(OFFSET($BH$3,0,0,'Données projet'!$E$11+1,1))-AVERAGE(OFFSET($H$3,0,0,'Données projet'!$E$11+1,1))</f>
        <v>64.256756080189803</v>
      </c>
      <c r="BJ175" s="59">
        <f t="shared" si="146"/>
        <v>209.76343043971747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2.0802156490321462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3.1277048309282034E-22</v>
      </c>
      <c r="BS175" s="22">
        <f t="shared" si="169"/>
        <v>2.0802156490321462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235.10258076192054</v>
      </c>
      <c r="T176" s="59">
        <f t="shared" si="142"/>
        <v>233.47316052603765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0.20177139014510503</v>
      </c>
      <c r="AA176" s="21">
        <f>EXP(-LN(2)/25)*AA175+(1-EXP(-LN(2)/25))/(LN(2)/25)*Calculateur!V176*Calculateur!X176*VLOOKUP('Données projet'!$B$9,Paramètres!$A$1:$I$89,3,0)*0.475*44/12</f>
        <v>0.34974285367170299</v>
      </c>
      <c r="AB176" s="21">
        <f>EXP(-LN(2)/2)*AB175+(1-EXP(-LN(2)/2))/(LN(2)/2)*V176*Y176*VLOOKUP('Données projet'!$B$9,Paramètres!$A$1:$I$89,3,0)*0.475*44/12</f>
        <v>7.2238728714970749E-21</v>
      </c>
      <c r="AC176" s="22">
        <f t="shared" si="163"/>
        <v>0.55151424381680803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-7.4487616075202836E-14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191.94797389630673</v>
      </c>
      <c r="AO176" s="59">
        <f t="shared" si="144"/>
        <v>273.52540822767878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0.2665186427834817</v>
      </c>
      <c r="AW176" s="21">
        <f>EXP(-LN(2)/2)*AW175+(1-EXP(-LN(2)/2))/(LN(2)/2)*AQ176*AT176*VLOOKUP('Données projet'!$B$10,Paramètres!$A$1:$I$89,3,0)*0.475*44/12</f>
        <v>6.9486530510974921E-21</v>
      </c>
      <c r="AX176" s="21">
        <f t="shared" si="166"/>
        <v>0.41815289961980295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1.8178525351686402E-14</v>
      </c>
      <c r="BF176" s="13">
        <f t="shared" si="167"/>
        <v>3.3304129621647644E-13</v>
      </c>
      <c r="BG176" s="20">
        <f t="shared" si="168"/>
        <v>6.1170785589788349E-13</v>
      </c>
      <c r="BH176" s="59">
        <f t="shared" si="116"/>
        <v>293.33333333333394</v>
      </c>
      <c r="BI176" s="59">
        <f ca="1">AVERAGE(OFFSET($BH$3,0,0,'Données projet'!$E$11+1,1))-AVERAGE(OFFSET($H$3,0,0,'Données projet'!$E$11+1,1))</f>
        <v>64.256756080189803</v>
      </c>
      <c r="BJ176" s="59">
        <f t="shared" si="146"/>
        <v>209.76343043971747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2.0394238889608873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2.2116212954992568E-22</v>
      </c>
      <c r="BS176" s="22">
        <f t="shared" si="169"/>
        <v>2.0394238889608873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235.10258076192054</v>
      </c>
      <c r="T177" s="59">
        <f t="shared" si="142"/>
        <v>233.47316052603765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0.19781477625275551</v>
      </c>
      <c r="AA177" s="21">
        <f>EXP(-LN(2)/25)*AA176+(1-EXP(-LN(2)/25))/(LN(2)/25)*Calculateur!V177*Calculateur!X177*VLOOKUP('Données projet'!$B$9,Paramètres!$A$1:$I$89,3,0)*0.475*44/12</f>
        <v>0.34017911694587294</v>
      </c>
      <c r="AB177" s="21">
        <f>EXP(-LN(2)/2)*AB176+(1-EXP(-LN(2)/2))/(LN(2)/2)*V177*Y177*VLOOKUP('Données projet'!$B$9,Paramètres!$A$1:$I$89,3,0)*0.475*44/12</f>
        <v>5.108049493865119E-21</v>
      </c>
      <c r="AC177" s="22">
        <f t="shared" si="163"/>
        <v>0.53799389319862845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-7.4487616075202836E-14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191.94797389630673</v>
      </c>
      <c r="AO177" s="59">
        <f t="shared" si="144"/>
        <v>273.52540822767878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0.2592306764809611</v>
      </c>
      <c r="AW177" s="21">
        <f>EXP(-LN(2)/2)*AW176+(1-EXP(-LN(2)/2))/(LN(2)/2)*AQ177*AT177*VLOOKUP('Données projet'!$B$10,Paramètres!$A$1:$I$89,3,0)*0.475*44/12</f>
        <v>4.9134396925436303E-21</v>
      </c>
      <c r="AX177" s="21">
        <f t="shared" si="166"/>
        <v>0.40789147802848635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1.8178525351686402E-14</v>
      </c>
      <c r="BF177" s="13">
        <f t="shared" si="167"/>
        <v>3.3304129621647644E-13</v>
      </c>
      <c r="BG177" s="20">
        <f t="shared" si="168"/>
        <v>6.1170785589788349E-13</v>
      </c>
      <c r="BH177" s="59">
        <f t="shared" si="116"/>
        <v>293.33333333333394</v>
      </c>
      <c r="BI177" s="59">
        <f ca="1">AVERAGE(OFFSET($BH$3,0,0,'Données projet'!$E$11+1,1))-AVERAGE(OFFSET($H$3,0,0,'Données projet'!$E$11+1,1))</f>
        <v>64.256756080189803</v>
      </c>
      <c r="BJ177" s="59">
        <f t="shared" si="146"/>
        <v>209.76343043971747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1.9994320304241091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1.5638524154641017E-22</v>
      </c>
      <c r="BS177" s="22">
        <f t="shared" si="169"/>
        <v>1.9994320304241091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235.10258076192054</v>
      </c>
      <c r="T178" s="59">
        <f t="shared" si="142"/>
        <v>233.47316052603765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0.19393574914553879</v>
      </c>
      <c r="AA178" s="21">
        <f>EXP(-LN(2)/25)*AA177+(1-EXP(-LN(2)/25))/(LN(2)/25)*Calculateur!V178*Calculateur!X178*VLOOKUP('Données projet'!$B$9,Paramètres!$A$1:$I$89,3,0)*0.475*44/12</f>
        <v>0.33087690110374579</v>
      </c>
      <c r="AB178" s="21">
        <f>EXP(-LN(2)/2)*AB177+(1-EXP(-LN(2)/2))/(LN(2)/2)*V178*Y178*VLOOKUP('Données projet'!$B$9,Paramètres!$A$1:$I$89,3,0)*0.475*44/12</f>
        <v>3.6119364357485375E-21</v>
      </c>
      <c r="AC178" s="22">
        <f t="shared" si="163"/>
        <v>0.52481265024928458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-7.4487616075202836E-14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191.94797389630673</v>
      </c>
      <c r="AO178" s="59">
        <f t="shared" si="144"/>
        <v>273.52540822767878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0.2521420000002404</v>
      </c>
      <c r="AW178" s="21">
        <f>EXP(-LN(2)/2)*AW177+(1-EXP(-LN(2)/2))/(LN(2)/2)*AQ178*AT178*VLOOKUP('Données projet'!$B$10,Paramètres!$A$1:$I$89,3,0)*0.475*44/12</f>
        <v>3.474326525548746E-21</v>
      </c>
      <c r="AX178" s="21">
        <f t="shared" si="166"/>
        <v>0.39788765390355429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1.8178525351686402E-14</v>
      </c>
      <c r="BF178" s="13">
        <f t="shared" si="167"/>
        <v>3.3304129621647644E-13</v>
      </c>
      <c r="BG178" s="20">
        <f t="shared" si="168"/>
        <v>6.1170785589788349E-13</v>
      </c>
      <c r="BH178" s="59">
        <f t="shared" si="116"/>
        <v>293.33333333333394</v>
      </c>
      <c r="BI178" s="59">
        <f ca="1">AVERAGE(OFFSET($BH$3,0,0,'Données projet'!$E$11+1,1))-AVERAGE(OFFSET($H$3,0,0,'Données projet'!$E$11+1,1))</f>
        <v>64.256756080189803</v>
      </c>
      <c r="BJ178" s="59">
        <f t="shared" si="146"/>
        <v>209.76343043971747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1.960224387840612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1.1058106477496284E-22</v>
      </c>
      <c r="BS178" s="22">
        <f t="shared" si="169"/>
        <v>1.960224387840612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235.10258076192054</v>
      </c>
      <c r="T179" s="59">
        <f t="shared" si="142"/>
        <v>233.47316052603765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0.19013278739392167</v>
      </c>
      <c r="AA179" s="21">
        <f>EXP(-LN(2)/25)*AA178+(1-EXP(-LN(2)/25))/(LN(2)/25)*Calculateur!V179*Calculateur!X179*VLOOKUP('Données projet'!$B$9,Paramètres!$A$1:$I$89,3,0)*0.475*44/12</f>
        <v>0.32182905484300384</v>
      </c>
      <c r="AB179" s="21">
        <f>EXP(-LN(2)/2)*AB178+(1-EXP(-LN(2)/2))/(LN(2)/2)*V179*Y179*VLOOKUP('Données projet'!$B$9,Paramètres!$A$1:$I$89,3,0)*0.475*44/12</f>
        <v>2.5540247469325595E-21</v>
      </c>
      <c r="AC179" s="22">
        <f t="shared" si="163"/>
        <v>0.51196184223692554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-7.4487616075202836E-14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191.94797389630673</v>
      </c>
      <c r="AO179" s="59">
        <f t="shared" si="144"/>
        <v>273.52540822767878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0.24524716375066233</v>
      </c>
      <c r="AW179" s="21">
        <f>EXP(-LN(2)/2)*AW178+(1-EXP(-LN(2)/2))/(LN(2)/2)*AQ179*AT179*VLOOKUP('Données projet'!$B$10,Paramètres!$A$1:$I$89,3,0)*0.475*44/12</f>
        <v>2.4567198462718152E-21</v>
      </c>
      <c r="AX179" s="21">
        <f t="shared" si="166"/>
        <v>0.3881348342770034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1.8178525351686402E-14</v>
      </c>
      <c r="BF179" s="13">
        <f t="shared" si="167"/>
        <v>3.3304129621647644E-13</v>
      </c>
      <c r="BG179" s="20">
        <f t="shared" si="168"/>
        <v>6.1170785589788349E-13</v>
      </c>
      <c r="BH179" s="59">
        <f t="shared" si="116"/>
        <v>293.33333333333394</v>
      </c>
      <c r="BI179" s="59">
        <f ca="1">AVERAGE(OFFSET($BH$3,0,0,'Données projet'!$E$11+1,1))-AVERAGE(OFFSET($H$3,0,0,'Données projet'!$E$11+1,1))</f>
        <v>64.256756080189803</v>
      </c>
      <c r="BJ179" s="59">
        <f t="shared" si="146"/>
        <v>209.76343043971747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1.9217855832138766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7.8192620773205086E-23</v>
      </c>
      <c r="BS179" s="22">
        <f t="shared" si="169"/>
        <v>1.9217855832138766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235.10258076192054</v>
      </c>
      <c r="T180" s="59">
        <f t="shared" si="142"/>
        <v>233.47316052603765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0.18640439940267614</v>
      </c>
      <c r="AA180" s="21">
        <f>EXP(-LN(2)/25)*AA179+(1-EXP(-LN(2)/25))/(LN(2)/25)*Calculateur!V180*Calculateur!X180*VLOOKUP('Données projet'!$B$9,Paramètres!$A$1:$I$89,3,0)*0.475*44/12</f>
        <v>0.31302862241406743</v>
      </c>
      <c r="AB180" s="21">
        <f>EXP(-LN(2)/2)*AB179+(1-EXP(-LN(2)/2))/(LN(2)/2)*V180*Y180*VLOOKUP('Données projet'!$B$9,Paramètres!$A$1:$I$89,3,0)*0.475*44/12</f>
        <v>1.8059682178742687E-21</v>
      </c>
      <c r="AC180" s="22">
        <f t="shared" si="163"/>
        <v>0.49943302181674354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-7.4487616075202836E-14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191.94797389630673</v>
      </c>
      <c r="AO180" s="59">
        <f t="shared" si="144"/>
        <v>273.52540822767878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0.23854086716091263</v>
      </c>
      <c r="AW180" s="21">
        <f>EXP(-LN(2)/2)*AW179+(1-EXP(-LN(2)/2))/(LN(2)/2)*AQ180*AT180*VLOOKUP('Données projet'!$B$10,Paramètres!$A$1:$I$89,3,0)*0.475*44/12</f>
        <v>1.737163262774373E-21</v>
      </c>
      <c r="AX180" s="21">
        <f t="shared" si="166"/>
        <v>0.37862659762110557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1.8178525351686402E-14</v>
      </c>
      <c r="BF180" s="13">
        <f t="shared" si="167"/>
        <v>3.3304129621647644E-13</v>
      </c>
      <c r="BG180" s="20">
        <f t="shared" si="168"/>
        <v>6.1170785589788349E-13</v>
      </c>
      <c r="BH180" s="59">
        <f t="shared" si="116"/>
        <v>293.33333333333394</v>
      </c>
      <c r="BI180" s="59">
        <f ca="1">AVERAGE(OFFSET($BH$3,0,0,'Données projet'!$E$11+1,1))-AVERAGE(OFFSET($H$3,0,0,'Données projet'!$E$11+1,1))</f>
        <v>64.256756080189803</v>
      </c>
      <c r="BJ180" s="59">
        <f t="shared" si="146"/>
        <v>209.76343043971747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1.8841005401005158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5.5290532387481419E-23</v>
      </c>
      <c r="BS180" s="22">
        <f t="shared" si="169"/>
        <v>1.8841005401005158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235.10258076192054</v>
      </c>
      <c r="T181" s="59">
        <f t="shared" si="142"/>
        <v>233.47316052603765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0.18274912282584679</v>
      </c>
      <c r="AA181" s="21">
        <f>EXP(-LN(2)/25)*AA180+(1-EXP(-LN(2)/25))/(LN(2)/25)*Calculateur!V181*Calculateur!X181*VLOOKUP('Données projet'!$B$9,Paramètres!$A$1:$I$89,3,0)*0.475*44/12</f>
        <v>0.30446883827269494</v>
      </c>
      <c r="AB181" s="21">
        <f>EXP(-LN(2)/2)*AB180+(1-EXP(-LN(2)/2))/(LN(2)/2)*V181*Y181*VLOOKUP('Données projet'!$B$9,Paramètres!$A$1:$I$89,3,0)*0.475*44/12</f>
        <v>1.2770123734662797E-21</v>
      </c>
      <c r="AC181" s="22">
        <f t="shared" si="163"/>
        <v>0.48721796109854176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-7.4487616075202836E-14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191.94797389630673</v>
      </c>
      <c r="AO181" s="59">
        <f t="shared" si="144"/>
        <v>273.52540822767878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0.23201795460407848</v>
      </c>
      <c r="AW181" s="21">
        <f>EXP(-LN(2)/2)*AW180+(1-EXP(-LN(2)/2))/(LN(2)/2)*AQ181*AT181*VLOOKUP('Données projet'!$B$10,Paramètres!$A$1:$I$89,3,0)*0.475*44/12</f>
        <v>1.2283599231359076E-21</v>
      </c>
      <c r="AX181" s="21">
        <f t="shared" si="166"/>
        <v>0.36935668933380572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1.8178525351686402E-14</v>
      </c>
      <c r="BF181" s="13">
        <f t="shared" si="167"/>
        <v>3.3304129621647644E-13</v>
      </c>
      <c r="BG181" s="20">
        <f t="shared" si="168"/>
        <v>6.1170785589788349E-13</v>
      </c>
      <c r="BH181" s="59">
        <f t="shared" si="116"/>
        <v>293.33333333333394</v>
      </c>
      <c r="BI181" s="59">
        <f ca="1">AVERAGE(OFFSET($BH$3,0,0,'Données projet'!$E$11+1,1))-AVERAGE(OFFSET($H$3,0,0,'Données projet'!$E$11+1,1))</f>
        <v>64.256756080189803</v>
      </c>
      <c r="BJ181" s="59">
        <f t="shared" si="146"/>
        <v>209.76343043971747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1.8471544776970013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3.9096310386602543E-23</v>
      </c>
      <c r="BS181" s="22">
        <f t="shared" si="169"/>
        <v>1.8471544776970013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235.10258076192054</v>
      </c>
      <c r="T182" s="59">
        <f t="shared" si="142"/>
        <v>233.47316052603765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0.17916552399319052</v>
      </c>
      <c r="AA182" s="21">
        <f>EXP(-LN(2)/25)*AA181+(1-EXP(-LN(2)/25))/(LN(2)/25)*Calculateur!V182*Calculateur!X182*VLOOKUP('Données projet'!$B$9,Paramètres!$A$1:$I$89,3,0)*0.475*44/12</f>
        <v>0.29614312187880776</v>
      </c>
      <c r="AB182" s="21">
        <f>EXP(-LN(2)/2)*AB181+(1-EXP(-LN(2)/2))/(LN(2)/2)*V182*Y182*VLOOKUP('Données projet'!$B$9,Paramètres!$A$1:$I$89,3,0)*0.475*44/12</f>
        <v>9.0298410893713436E-22</v>
      </c>
      <c r="AC182" s="22">
        <f t="shared" si="163"/>
        <v>0.47530864587199828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-7.4487616075202836E-14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191.94797389630673</v>
      </c>
      <c r="AO182" s="59">
        <f t="shared" si="144"/>
        <v>273.52540822767878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0.225673411434136</v>
      </c>
      <c r="AW182" s="21">
        <f>EXP(-LN(2)/2)*AW181+(1-EXP(-LN(2)/2))/(LN(2)/2)*AQ182*AT182*VLOOKUP('Données projet'!$B$10,Paramètres!$A$1:$I$89,3,0)*0.475*44/12</f>
        <v>8.6858163138718651E-22</v>
      </c>
      <c r="AX182" s="21">
        <f t="shared" si="166"/>
        <v>0.36031901734417005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1.8178525351686402E-14</v>
      </c>
      <c r="BF182" s="13">
        <f t="shared" si="167"/>
        <v>3.3304129621647644E-13</v>
      </c>
      <c r="BG182" s="20">
        <f t="shared" si="168"/>
        <v>6.1170785589788349E-13</v>
      </c>
      <c r="BH182" s="59">
        <f t="shared" si="116"/>
        <v>293.33333333333394</v>
      </c>
      <c r="BI182" s="59">
        <f ca="1">AVERAGE(OFFSET($BH$3,0,0,'Données projet'!$E$11+1,1))-AVERAGE(OFFSET($H$3,0,0,'Données projet'!$E$11+1,1))</f>
        <v>64.256756080189803</v>
      </c>
      <c r="BJ182" s="59">
        <f t="shared" si="146"/>
        <v>209.76343043971747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1.8109329050423466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2.764526619374071E-23</v>
      </c>
      <c r="BS182" s="22">
        <f t="shared" si="169"/>
        <v>1.8109329050423466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235.10258076192054</v>
      </c>
      <c r="T183" s="59">
        <f t="shared" si="142"/>
        <v>233.47316052603765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0.17565219734786316</v>
      </c>
      <c r="AA183" s="21">
        <f>EXP(-LN(2)/25)*AA182+(1-EXP(-LN(2)/25))/(LN(2)/25)*Calculateur!V183*Calculateur!X183*VLOOKUP('Données projet'!$B$9,Paramètres!$A$1:$I$89,3,0)*0.475*44/12</f>
        <v>0.28804507263754181</v>
      </c>
      <c r="AB183" s="21">
        <f>EXP(-LN(2)/2)*AB182+(1-EXP(-LN(2)/2))/(LN(2)/2)*V183*Y183*VLOOKUP('Données projet'!$B$9,Paramètres!$A$1:$I$89,3,0)*0.475*44/12</f>
        <v>6.3850618673313987E-22</v>
      </c>
      <c r="AC183" s="22">
        <f t="shared" si="163"/>
        <v>0.46369726998540495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-7.4487616075202836E-14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191.94797389630673</v>
      </c>
      <c r="AO183" s="59">
        <f t="shared" si="144"/>
        <v>273.52540822767878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0.21950236013082061</v>
      </c>
      <c r="AW183" s="21">
        <f>EXP(-LN(2)/2)*AW182+(1-EXP(-LN(2)/2))/(LN(2)/2)*AQ183*AT183*VLOOKUP('Données projet'!$B$10,Paramètres!$A$1:$I$89,3,0)*0.475*44/12</f>
        <v>6.1417996156795379E-22</v>
      </c>
      <c r="AX183" s="21">
        <f t="shared" si="166"/>
        <v>0.35150764783466926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1.8178525351686402E-14</v>
      </c>
      <c r="BF183" s="13">
        <f t="shared" si="167"/>
        <v>3.3304129621647644E-13</v>
      </c>
      <c r="BG183" s="20">
        <f t="shared" si="168"/>
        <v>6.1170785589788349E-13</v>
      </c>
      <c r="BH183" s="59">
        <f t="shared" si="116"/>
        <v>293.33333333333394</v>
      </c>
      <c r="BI183" s="59">
        <f ca="1">AVERAGE(OFFSET($BH$3,0,0,'Données projet'!$E$11+1,1))-AVERAGE(OFFSET($H$3,0,0,'Données projet'!$E$11+1,1))</f>
        <v>64.256756080189803</v>
      </c>
      <c r="BJ183" s="59">
        <f t="shared" si="146"/>
        <v>209.76343043971747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1.775421615334472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1.9548155193301271E-23</v>
      </c>
      <c r="BS183" s="22">
        <f t="shared" si="169"/>
        <v>1.775421615334472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235.10258076192054</v>
      </c>
      <c r="T184" s="59">
        <f t="shared" si="142"/>
        <v>233.47316052603765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0.17220776489513304</v>
      </c>
      <c r="AA184" s="21">
        <f>EXP(-LN(2)/25)*AA183+(1-EXP(-LN(2)/25))/(LN(2)/25)*Calculateur!V184*Calculateur!X184*VLOOKUP('Données projet'!$B$9,Paramètres!$A$1:$I$89,3,0)*0.475*44/12</f>
        <v>0.28016846497863618</v>
      </c>
      <c r="AB184" s="21">
        <f>EXP(-LN(2)/2)*AB183+(1-EXP(-LN(2)/2))/(LN(2)/2)*V184*Y184*VLOOKUP('Données projet'!$B$9,Paramètres!$A$1:$I$89,3,0)*0.475*44/12</f>
        <v>4.5149205446856718E-22</v>
      </c>
      <c r="AC184" s="22">
        <f t="shared" si="163"/>
        <v>0.45237622987376924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-7.4487616075202836E-14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191.94797389630673</v>
      </c>
      <c r="AO184" s="59">
        <f t="shared" si="144"/>
        <v>273.52540822767878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0.21350005654991588</v>
      </c>
      <c r="AW184" s="21">
        <f>EXP(-LN(2)/2)*AW183+(1-EXP(-LN(2)/2))/(LN(2)/2)*AQ184*AT184*VLOOKUP('Données projet'!$B$10,Paramètres!$A$1:$I$89,3,0)*0.475*44/12</f>
        <v>4.3429081569359325E-22</v>
      </c>
      <c r="AX184" s="21">
        <f t="shared" si="166"/>
        <v>0.34291680107716732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1.8178525351686402E-14</v>
      </c>
      <c r="BF184" s="13">
        <f t="shared" si="167"/>
        <v>3.3304129621647644E-13</v>
      </c>
      <c r="BG184" s="20">
        <f t="shared" si="168"/>
        <v>6.1170785589788349E-13</v>
      </c>
      <c r="BH184" s="59">
        <f t="shared" si="116"/>
        <v>293.33333333333394</v>
      </c>
      <c r="BI184" s="59">
        <f ca="1">AVERAGE(OFFSET($BH$3,0,0,'Données projet'!$E$11+1,1))-AVERAGE(OFFSET($H$3,0,0,'Données projet'!$E$11+1,1))</f>
        <v>64.256756080189803</v>
      </c>
      <c r="BJ184" s="59">
        <f t="shared" si="146"/>
        <v>209.76343043971747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1.7406066803580209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1.3822633096870355E-23</v>
      </c>
      <c r="BS184" s="22">
        <f t="shared" si="169"/>
        <v>1.7406066803580209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235.10258076192054</v>
      </c>
      <c r="T185" s="59">
        <f t="shared" si="142"/>
        <v>233.47316052603765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0.16883087566190458</v>
      </c>
      <c r="AA185" s="21">
        <f>EXP(-LN(2)/25)*AA184+(1-EXP(-LN(2)/25))/(LN(2)/25)*Calculateur!V185*Calculateur!X185*VLOOKUP('Données projet'!$B$9,Paramètres!$A$1:$I$89,3,0)*0.475*44/12</f>
        <v>0.27250724357037615</v>
      </c>
      <c r="AB185" s="21">
        <f>EXP(-LN(2)/2)*AB184+(1-EXP(-LN(2)/2))/(LN(2)/2)*V185*Y185*VLOOKUP('Données projet'!$B$9,Paramètres!$A$1:$I$89,3,0)*0.475*44/12</f>
        <v>3.1925309336656993E-22</v>
      </c>
      <c r="AC185" s="22">
        <f t="shared" si="163"/>
        <v>0.44133811923228072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-7.4487616075202836E-14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191.94797389630673</v>
      </c>
      <c r="AO185" s="59">
        <f t="shared" si="144"/>
        <v>273.52540822767878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0.20766188627607843</v>
      </c>
      <c r="AW185" s="21">
        <f>EXP(-LN(2)/2)*AW184+(1-EXP(-LN(2)/2))/(LN(2)/2)*AQ185*AT185*VLOOKUP('Données projet'!$B$10,Paramètres!$A$1:$I$89,3,0)*0.475*44/12</f>
        <v>3.070899807839769E-22</v>
      </c>
      <c r="AX185" s="21">
        <f t="shared" si="166"/>
        <v>0.33454084737957029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1.8178525351686402E-14</v>
      </c>
      <c r="BF185" s="13">
        <f t="shared" si="167"/>
        <v>3.3304129621647644E-13</v>
      </c>
      <c r="BG185" s="20">
        <f t="shared" si="168"/>
        <v>6.1170785589788349E-13</v>
      </c>
      <c r="BH185" s="59">
        <f t="shared" si="116"/>
        <v>293.33333333333394</v>
      </c>
      <c r="BI185" s="59">
        <f ca="1">AVERAGE(OFFSET($BH$3,0,0,'Données projet'!$E$11+1,1))-AVERAGE(OFFSET($H$3,0,0,'Données projet'!$E$11+1,1))</f>
        <v>64.256756080189803</v>
      </c>
      <c r="BJ185" s="59">
        <f t="shared" si="146"/>
        <v>209.76343043971747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1.7064744450214444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9.7740775966506357E-24</v>
      </c>
      <c r="BS185" s="22">
        <f t="shared" si="169"/>
        <v>1.7064744450214444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235.10258076192054</v>
      </c>
      <c r="T186" s="59">
        <f t="shared" si="142"/>
        <v>233.47316052603765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0.16552020516684068</v>
      </c>
      <c r="AA186" s="21">
        <f>EXP(-LN(2)/25)*AA185+(1-EXP(-LN(2)/25))/(LN(2)/25)*Calculateur!V186*Calculateur!X186*VLOOKUP('Données projet'!$B$9,Paramètres!$A$1:$I$89,3,0)*0.475*44/12</f>
        <v>0.26505551866441107</v>
      </c>
      <c r="AB186" s="21">
        <f>EXP(-LN(2)/2)*AB185+(1-EXP(-LN(2)/2))/(LN(2)/2)*V186*Y186*VLOOKUP('Données projet'!$B$9,Paramètres!$A$1:$I$89,3,0)*0.475*44/12</f>
        <v>2.2574602723428359E-22</v>
      </c>
      <c r="AC186" s="22">
        <f t="shared" si="163"/>
        <v>0.43057572383125176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-7.4487616075202836E-14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191.94797389630673</v>
      </c>
      <c r="AO186" s="59">
        <f t="shared" si="144"/>
        <v>273.52540822767878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0.20198336107539508</v>
      </c>
      <c r="AW186" s="21">
        <f>EXP(-LN(2)/2)*AW185+(1-EXP(-LN(2)/2))/(LN(2)/2)*AQ186*AT186*VLOOKUP('Données projet'!$B$10,Paramètres!$A$1:$I$89,3,0)*0.475*44/12</f>
        <v>2.1714540784679663E-22</v>
      </c>
      <c r="AX186" s="21">
        <f t="shared" si="166"/>
        <v>0.32637430314017224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1.8178525351686402E-14</v>
      </c>
      <c r="BF186" s="13">
        <f t="shared" si="167"/>
        <v>3.3304129621647644E-13</v>
      </c>
      <c r="BG186" s="20">
        <f t="shared" si="168"/>
        <v>6.1170785589788349E-13</v>
      </c>
      <c r="BH186" s="59">
        <f t="shared" si="116"/>
        <v>293.33333333333394</v>
      </c>
      <c r="BI186" s="59">
        <f ca="1">AVERAGE(OFFSET($BH$3,0,0,'Données projet'!$E$11+1,1))-AVERAGE(OFFSET($H$3,0,0,'Données projet'!$E$11+1,1))</f>
        <v>64.256756080189803</v>
      </c>
      <c r="BJ186" s="59">
        <f t="shared" si="146"/>
        <v>209.76343043971747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1.6730115220012103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6.9113165484351774E-24</v>
      </c>
      <c r="BS186" s="22">
        <f t="shared" si="169"/>
        <v>1.6730115220012103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235.10258076192054</v>
      </c>
      <c r="T187" s="59">
        <f t="shared" si="142"/>
        <v>233.47316052603765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0.16227445490087539</v>
      </c>
      <c r="AA187" s="21">
        <f>EXP(-LN(2)/25)*AA186+(1-EXP(-LN(2)/25))/(LN(2)/25)*Calculateur!V187*Calculateur!X187*VLOOKUP('Données projet'!$B$9,Paramètres!$A$1:$I$89,3,0)*0.475*44/12</f>
        <v>0.25780756156786883</v>
      </c>
      <c r="AB187" s="21">
        <f>EXP(-LN(2)/2)*AB186+(1-EXP(-LN(2)/2))/(LN(2)/2)*V187*Y187*VLOOKUP('Données projet'!$B$9,Paramètres!$A$1:$I$89,3,0)*0.475*44/12</f>
        <v>1.5962654668328497E-22</v>
      </c>
      <c r="AC187" s="22">
        <f t="shared" si="163"/>
        <v>0.42008201646874421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-7.4487616075202836E-14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191.94797389630673</v>
      </c>
      <c r="AO187" s="59">
        <f t="shared" si="144"/>
        <v>273.52540822767878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0.19646011544494507</v>
      </c>
      <c r="AW187" s="21">
        <f>EXP(-LN(2)/2)*AW186+(1-EXP(-LN(2)/2))/(LN(2)/2)*AQ187*AT187*VLOOKUP('Données projet'!$B$10,Paramètres!$A$1:$I$89,3,0)*0.475*44/12</f>
        <v>1.5354499039198845E-22</v>
      </c>
      <c r="AX187" s="21">
        <f t="shared" si="166"/>
        <v>0.31841182700681503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1.8178525351686402E-14</v>
      </c>
      <c r="BF187" s="13">
        <f t="shared" si="167"/>
        <v>3.3304129621647644E-13</v>
      </c>
      <c r="BG187" s="20">
        <f t="shared" si="168"/>
        <v>6.1170785589788349E-13</v>
      </c>
      <c r="BH187" s="59">
        <f t="shared" si="116"/>
        <v>293.33333333333394</v>
      </c>
      <c r="BI187" s="59">
        <f ca="1">AVERAGE(OFFSET($BH$3,0,0,'Données projet'!$E$11+1,1))-AVERAGE(OFFSET($H$3,0,0,'Données projet'!$E$11+1,1))</f>
        <v>64.256756080189803</v>
      </c>
      <c r="BJ187" s="59">
        <f t="shared" si="146"/>
        <v>209.76343043971747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1.6402047864910352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4.8870387983253179E-24</v>
      </c>
      <c r="BS187" s="22">
        <f t="shared" si="169"/>
        <v>1.6402047864910352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235.10258076192054</v>
      </c>
      <c r="T188" s="59">
        <f t="shared" si="142"/>
        <v>233.47316052603765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0.15909235181791348</v>
      </c>
      <c r="AA188" s="21">
        <f>EXP(-LN(2)/25)*AA187+(1-EXP(-LN(2)/25))/(LN(2)/25)*Calculateur!V188*Calculateur!X188*VLOOKUP('Données projet'!$B$9,Paramètres!$A$1:$I$89,3,0)*0.475*44/12</f>
        <v>0.25075780023928501</v>
      </c>
      <c r="AB188" s="21">
        <f>EXP(-LN(2)/2)*AB187+(1-EXP(-LN(2)/2))/(LN(2)/2)*V188*Y188*VLOOKUP('Données projet'!$B$9,Paramètres!$A$1:$I$89,3,0)*0.475*44/12</f>
        <v>1.128730136171418E-22</v>
      </c>
      <c r="AC188" s="22">
        <f t="shared" si="163"/>
        <v>0.40985015205719849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-7.4487616075202836E-14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191.94797389630673</v>
      </c>
      <c r="AO188" s="59">
        <f t="shared" si="144"/>
        <v>273.52540822767878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0.1910879032567146</v>
      </c>
      <c r="AW188" s="21">
        <f>EXP(-LN(2)/2)*AW187+(1-EXP(-LN(2)/2))/(LN(2)/2)*AQ188*AT188*VLOOKUP('Données projet'!$B$10,Paramètres!$A$1:$I$89,3,0)*0.475*44/12</f>
        <v>1.0857270392339831E-22</v>
      </c>
      <c r="AX188" s="21">
        <f t="shared" si="166"/>
        <v>0.3106482161380556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1.8178525351686402E-14</v>
      </c>
      <c r="BF188" s="13">
        <f t="shared" si="167"/>
        <v>3.3304129621647644E-13</v>
      </c>
      <c r="BG188" s="20">
        <f t="shared" si="168"/>
        <v>6.1170785589788349E-13</v>
      </c>
      <c r="BH188" s="59">
        <f t="shared" si="116"/>
        <v>293.33333333333394</v>
      </c>
      <c r="BI188" s="59">
        <f ca="1">AVERAGE(OFFSET($BH$3,0,0,'Données projet'!$E$11+1,1))-AVERAGE(OFFSET($H$3,0,0,'Données projet'!$E$11+1,1))</f>
        <v>64.256756080189803</v>
      </c>
      <c r="BJ188" s="59">
        <f t="shared" si="146"/>
        <v>209.76343043971747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1.608041371054082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3.4556582742175887E-24</v>
      </c>
      <c r="BS188" s="22">
        <f t="shared" si="169"/>
        <v>1.608041371054082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235.10258076192054</v>
      </c>
      <c r="T189" s="59">
        <f t="shared" si="142"/>
        <v>233.47316052603765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0.15597264783551723</v>
      </c>
      <c r="AA189" s="21">
        <f>EXP(-LN(2)/25)*AA188+(1-EXP(-LN(2)/25))/(LN(2)/25)*Calculateur!V189*Calculateur!X189*VLOOKUP('Données projet'!$B$9,Paramètres!$A$1:$I$89,3,0)*0.475*44/12</f>
        <v>0.24390081500496216</v>
      </c>
      <c r="AB189" s="21">
        <f>EXP(-LN(2)/2)*AB188+(1-EXP(-LN(2)/2))/(LN(2)/2)*V189*Y189*VLOOKUP('Données projet'!$B$9,Paramètres!$A$1:$I$89,3,0)*0.475*44/12</f>
        <v>7.9813273341642484E-23</v>
      </c>
      <c r="AC189" s="22">
        <f t="shared" si="163"/>
        <v>0.39987346284047942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-7.4487616075202836E-14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191.94797389630673</v>
      </c>
      <c r="AO189" s="59">
        <f t="shared" si="144"/>
        <v>273.52540822767878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0.18586259449328363</v>
      </c>
      <c r="AW189" s="21">
        <f>EXP(-LN(2)/2)*AW188+(1-EXP(-LN(2)/2))/(LN(2)/2)*AQ189*AT189*VLOOKUP('Données projet'!$B$10,Paramètres!$A$1:$I$89,3,0)*0.475*44/12</f>
        <v>7.6772495195994224E-23</v>
      </c>
      <c r="AX189" s="21">
        <f t="shared" si="166"/>
        <v>0.30307840256361168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1.8178525351686402E-14</v>
      </c>
      <c r="BF189" s="13">
        <f t="shared" si="167"/>
        <v>3.3304129621647644E-13</v>
      </c>
      <c r="BG189" s="20">
        <f t="shared" si="168"/>
        <v>6.1170785589788349E-13</v>
      </c>
      <c r="BH189" s="59">
        <f t="shared" si="116"/>
        <v>293.33333333333394</v>
      </c>
      <c r="BI189" s="59">
        <f ca="1">AVERAGE(OFFSET($BH$3,0,0,'Données projet'!$E$11+1,1))-AVERAGE(OFFSET($H$3,0,0,'Données projet'!$E$11+1,1))</f>
        <v>64.256756080189803</v>
      </c>
      <c r="BJ189" s="59">
        <f t="shared" si="146"/>
        <v>209.76343043971747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1.576508660576101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2.4435193991626589E-24</v>
      </c>
      <c r="BS189" s="22">
        <f t="shared" si="169"/>
        <v>1.576508660576101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235.10258076192054</v>
      </c>
      <c r="T190" s="59">
        <f t="shared" si="142"/>
        <v>233.47316052603765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0.15291411934538424</v>
      </c>
      <c r="AA190" s="21">
        <f>EXP(-LN(2)/25)*AA189+(1-EXP(-LN(2)/25))/(LN(2)/25)*Calculateur!V190*Calculateur!X190*VLOOKUP('Données projet'!$B$9,Paramètres!$A$1:$I$89,3,0)*0.475*44/12</f>
        <v>0.23723133439246505</v>
      </c>
      <c r="AB190" s="21">
        <f>EXP(-LN(2)/2)*AB189+(1-EXP(-LN(2)/2))/(LN(2)/2)*V190*Y190*VLOOKUP('Données projet'!$B$9,Paramètres!$A$1:$I$89,3,0)*0.475*44/12</f>
        <v>5.6436506808570898E-23</v>
      </c>
      <c r="AC190" s="22">
        <f t="shared" si="163"/>
        <v>0.39014545373784926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-7.4487616075202836E-14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191.94797389630673</v>
      </c>
      <c r="AO190" s="59">
        <f t="shared" si="144"/>
        <v>273.52540822767878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0.18078017207277575</v>
      </c>
      <c r="AW190" s="21">
        <f>EXP(-LN(2)/2)*AW189+(1-EXP(-LN(2)/2))/(LN(2)/2)*AQ190*AT190*VLOOKUP('Données projet'!$B$10,Paramètres!$A$1:$I$89,3,0)*0.475*44/12</f>
        <v>5.4286351961699157E-23</v>
      </c>
      <c r="AX190" s="21">
        <f t="shared" si="166"/>
        <v>0.29569744964142808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1.8178525351686402E-14</v>
      </c>
      <c r="BF190" s="13">
        <f t="shared" si="167"/>
        <v>3.3304129621647644E-13</v>
      </c>
      <c r="BG190" s="20">
        <f t="shared" si="168"/>
        <v>6.1170785589788349E-13</v>
      </c>
      <c r="BH190" s="59">
        <f t="shared" si="116"/>
        <v>293.33333333333394</v>
      </c>
      <c r="BI190" s="59">
        <f ca="1">AVERAGE(OFFSET($BH$3,0,0,'Données projet'!$E$11+1,1))-AVERAGE(OFFSET($H$3,0,0,'Données projet'!$E$11+1,1))</f>
        <v>64.256756080189803</v>
      </c>
      <c r="BJ190" s="59">
        <f t="shared" si="146"/>
        <v>209.76343043971747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1.5455942873175388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1.7278291371087943E-24</v>
      </c>
      <c r="BS190" s="22">
        <f t="shared" si="169"/>
        <v>1.5455942873175388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235.10258076192054</v>
      </c>
      <c r="T191" s="59">
        <f t="shared" si="142"/>
        <v>233.47316052603765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0.14991556673342457</v>
      </c>
      <c r="AA191" s="21">
        <f>EXP(-LN(2)/25)*AA190+(1-EXP(-LN(2)/25))/(LN(2)/25)*Calculateur!V191*Calculateur!X191*VLOOKUP('Données projet'!$B$9,Paramètres!$A$1:$I$89,3,0)*0.475*44/12</f>
        <v>0.23074423107804942</v>
      </c>
      <c r="AB191" s="21">
        <f>EXP(-LN(2)/2)*AB190+(1-EXP(-LN(2)/2))/(LN(2)/2)*V191*Y191*VLOOKUP('Données projet'!$B$9,Paramètres!$A$1:$I$89,3,0)*0.475*44/12</f>
        <v>3.9906636670821242E-23</v>
      </c>
      <c r="AC191" s="22">
        <f t="shared" si="163"/>
        <v>0.38065979781147397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-7.4487616075202836E-14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191.94797389630673</v>
      </c>
      <c r="AO191" s="59">
        <f t="shared" si="144"/>
        <v>273.52540822767878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0.17583672876062961</v>
      </c>
      <c r="AW191" s="21">
        <f>EXP(-LN(2)/2)*AW190+(1-EXP(-LN(2)/2))/(LN(2)/2)*AQ191*AT191*VLOOKUP('Données projet'!$B$10,Paramètres!$A$1:$I$89,3,0)*0.475*44/12</f>
        <v>3.8386247597997112E-23</v>
      </c>
      <c r="AX191" s="21">
        <f t="shared" si="166"/>
        <v>0.28850054860877894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1.8178525351686402E-14</v>
      </c>
      <c r="BF191" s="13">
        <f t="shared" si="167"/>
        <v>3.3304129621647644E-13</v>
      </c>
      <c r="BG191" s="20">
        <f t="shared" si="168"/>
        <v>6.1170785589788349E-13</v>
      </c>
      <c r="BH191" s="59">
        <f t="shared" si="116"/>
        <v>293.33333333333394</v>
      </c>
      <c r="BI191" s="59">
        <f ca="1">AVERAGE(OFFSET($BH$3,0,0,'Données projet'!$E$11+1,1))-AVERAGE(OFFSET($H$3,0,0,'Données projet'!$E$11+1,1))</f>
        <v>64.256756080189803</v>
      </c>
      <c r="BJ191" s="59">
        <f t="shared" si="146"/>
        <v>209.76343043971747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1.5152861260626713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1.2217596995813295E-24</v>
      </c>
      <c r="BS191" s="22">
        <f t="shared" si="169"/>
        <v>1.5152861260626713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235.10258076192054</v>
      </c>
      <c r="T192" s="59">
        <f t="shared" si="142"/>
        <v>233.47316052603765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0.14697581390924894</v>
      </c>
      <c r="AA192" s="21">
        <f>EXP(-LN(2)/25)*AA191+(1-EXP(-LN(2)/25))/(LN(2)/25)*Calculateur!V192*Calculateur!X192*VLOOKUP('Données projet'!$B$9,Paramètres!$A$1:$I$89,3,0)*0.475*44/12</f>
        <v>0.22443451794490843</v>
      </c>
      <c r="AB192" s="21">
        <f>EXP(-LN(2)/2)*AB191+(1-EXP(-LN(2)/2))/(LN(2)/2)*V192*Y192*VLOOKUP('Données projet'!$B$9,Paramètres!$A$1:$I$89,3,0)*0.475*44/12</f>
        <v>2.8218253404285449E-23</v>
      </c>
      <c r="AC192" s="22">
        <f t="shared" si="163"/>
        <v>0.37141033185415739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-7.4487616075202836E-14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191.94797389630673</v>
      </c>
      <c r="AO192" s="59">
        <f t="shared" si="144"/>
        <v>273.52540822767878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0.17102846416581852</v>
      </c>
      <c r="AW192" s="21">
        <f>EXP(-LN(2)/2)*AW191+(1-EXP(-LN(2)/2))/(LN(2)/2)*AQ192*AT192*VLOOKUP('Données projet'!$B$10,Paramètres!$A$1:$I$89,3,0)*0.475*44/12</f>
        <v>2.7143175980849578E-23</v>
      </c>
      <c r="AX192" s="21">
        <f t="shared" si="166"/>
        <v>0.28148301522489039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1.8178525351686402E-14</v>
      </c>
      <c r="BF192" s="13">
        <f t="shared" si="167"/>
        <v>3.3304129621647644E-13</v>
      </c>
      <c r="BG192" s="20">
        <f t="shared" si="168"/>
        <v>6.1170785589788349E-13</v>
      </c>
      <c r="BH192" s="59">
        <f t="shared" si="116"/>
        <v>293.33333333333394</v>
      </c>
      <c r="BI192" s="59">
        <f ca="1">AVERAGE(OFFSET($BH$3,0,0,'Données projet'!$E$11+1,1))-AVERAGE(OFFSET($H$3,0,0,'Données projet'!$E$11+1,1))</f>
        <v>64.256756080189803</v>
      </c>
      <c r="BJ192" s="59">
        <f t="shared" si="146"/>
        <v>209.76343043971747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1.4855722893638588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8.6391456855439717E-25</v>
      </c>
      <c r="BS192" s="22">
        <f t="shared" si="169"/>
        <v>1.4855722893638588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235.10258076192054</v>
      </c>
      <c r="T193" s="59">
        <f t="shared" si="142"/>
        <v>233.47316052603765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0.14409370784488321</v>
      </c>
      <c r="AA193" s="21">
        <f>EXP(-LN(2)/25)*AA192+(1-EXP(-LN(2)/25))/(LN(2)/25)*Calculateur!V193*Calculateur!X193*VLOOKUP('Données projet'!$B$9,Paramètres!$A$1:$I$89,3,0)*0.475*44/12</f>
        <v>0.21829734424920655</v>
      </c>
      <c r="AB193" s="21">
        <f>EXP(-LN(2)/2)*AB192+(1-EXP(-LN(2)/2))/(LN(2)/2)*V193*Y193*VLOOKUP('Données projet'!$B$9,Paramètres!$A$1:$I$89,3,0)*0.475*44/12</f>
        <v>1.9953318335410621E-23</v>
      </c>
      <c r="AC193" s="22">
        <f t="shared" si="163"/>
        <v>0.36239105209408973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-7.4487616075202836E-14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191.94797389630673</v>
      </c>
      <c r="AO193" s="59">
        <f t="shared" si="144"/>
        <v>273.52540822767878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0.16635168181920817</v>
      </c>
      <c r="AW193" s="21">
        <f>EXP(-LN(2)/2)*AW192+(1-EXP(-LN(2)/2))/(LN(2)/2)*AQ193*AT193*VLOOKUP('Données projet'!$B$10,Paramètres!$A$1:$I$89,3,0)*0.475*44/12</f>
        <v>1.9193123798998556E-23</v>
      </c>
      <c r="AX193" s="21">
        <f t="shared" si="166"/>
        <v>0.2746402865026355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1.8178525351686402E-14</v>
      </c>
      <c r="BF193" s="13">
        <f t="shared" si="167"/>
        <v>3.3304129621647644E-13</v>
      </c>
      <c r="BG193" s="20">
        <f t="shared" si="168"/>
        <v>6.1170785589788349E-13</v>
      </c>
      <c r="BH193" s="59">
        <f t="shared" si="116"/>
        <v>293.33333333333394</v>
      </c>
      <c r="BI193" s="59">
        <f ca="1">AVERAGE(OFFSET($BH$3,0,0,'Données projet'!$E$11+1,1))-AVERAGE(OFFSET($H$3,0,0,'Données projet'!$E$11+1,1))</f>
        <v>64.256756080189803</v>
      </c>
      <c r="BJ193" s="59">
        <f t="shared" si="146"/>
        <v>209.76343043971747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1.456441122879059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6.1087984979066473E-25</v>
      </c>
      <c r="BS193" s="22">
        <f t="shared" si="169"/>
        <v>1.456441122879059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235.10258076192054</v>
      </c>
      <c r="T194" s="59">
        <f t="shared" si="142"/>
        <v>233.47316052603765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0.14126811812252857</v>
      </c>
      <c r="AA194" s="21">
        <f>EXP(-LN(2)/25)*AA193+(1-EXP(-LN(2)/25))/(LN(2)/25)*Calculateur!V194*Calculateur!X194*VLOOKUP('Données projet'!$B$9,Paramètres!$A$1:$I$89,3,0)*0.475*44/12</f>
        <v>0.21232799189095358</v>
      </c>
      <c r="AB194" s="21">
        <f>EXP(-LN(2)/2)*AB193+(1-EXP(-LN(2)/2))/(LN(2)/2)*V194*Y194*VLOOKUP('Données projet'!$B$9,Paramètres!$A$1:$I$89,3,0)*0.475*44/12</f>
        <v>1.4109126702142724E-23</v>
      </c>
      <c r="AC194" s="22">
        <f t="shared" si="163"/>
        <v>0.35359611001348212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-7.4487616075202836E-14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191.94797389630673</v>
      </c>
      <c r="AO194" s="59">
        <f t="shared" si="144"/>
        <v>273.52540822767878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0.16180278633180717</v>
      </c>
      <c r="AW194" s="21">
        <f>EXP(-LN(2)/2)*AW193+(1-EXP(-LN(2)/2))/(LN(2)/2)*AQ194*AT194*VLOOKUP('Données projet'!$B$10,Paramètres!$A$1:$I$89,3,0)*0.475*44/12</f>
        <v>1.3571587990424789E-23</v>
      </c>
      <c r="AX194" s="21">
        <f t="shared" si="166"/>
        <v>0.26796791752691945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1.8178525351686402E-14</v>
      </c>
      <c r="BF194" s="13">
        <f t="shared" si="167"/>
        <v>3.3304129621647644E-13</v>
      </c>
      <c r="BG194" s="20">
        <f t="shared" si="168"/>
        <v>6.1170785589788349E-13</v>
      </c>
      <c r="BH194" s="59">
        <f t="shared" si="116"/>
        <v>293.33333333333394</v>
      </c>
      <c r="BI194" s="59">
        <f ca="1">AVERAGE(OFFSET($BH$3,0,0,'Données projet'!$E$11+1,1))-AVERAGE(OFFSET($H$3,0,0,'Données projet'!$E$11+1,1))</f>
        <v>64.256756080189803</v>
      </c>
      <c r="BJ194" s="59">
        <f t="shared" si="146"/>
        <v>209.76343043971747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1.4278812008007693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4.3195728427719859E-25</v>
      </c>
      <c r="BS194" s="22">
        <f t="shared" si="169"/>
        <v>1.4278812008007693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235.10258076192054</v>
      </c>
      <c r="T195" s="59">
        <f t="shared" si="142"/>
        <v>233.47316052603765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0.13849793649118974</v>
      </c>
      <c r="AA195" s="21">
        <f>EXP(-LN(2)/25)*AA194+(1-EXP(-LN(2)/25))/(LN(2)/25)*Calculateur!V195*Calculateur!X195*VLOOKUP('Données projet'!$B$9,Paramètres!$A$1:$I$89,3,0)*0.475*44/12</f>
        <v>0.20652187178685164</v>
      </c>
      <c r="AB195" s="21">
        <f>EXP(-LN(2)/2)*AB194+(1-EXP(-LN(2)/2))/(LN(2)/2)*V195*Y195*VLOOKUP('Données projet'!$B$9,Paramètres!$A$1:$I$89,3,0)*0.475*44/12</f>
        <v>9.9766591677053105E-24</v>
      </c>
      <c r="AC195" s="22">
        <f t="shared" si="163"/>
        <v>0.34501980827804135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-7.4487616075202836E-14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191.94797389630673</v>
      </c>
      <c r="AO195" s="59">
        <f t="shared" si="144"/>
        <v>273.52540822767878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0.15737828063072518</v>
      </c>
      <c r="AW195" s="21">
        <f>EXP(-LN(2)/2)*AW194+(1-EXP(-LN(2)/2))/(LN(2)/2)*AQ195*AT195*VLOOKUP('Données projet'!$B$10,Paramètres!$A$1:$I$89,3,0)*0.475*44/12</f>
        <v>9.596561899499278E-24</v>
      </c>
      <c r="AX195" s="21">
        <f t="shared" si="166"/>
        <v>0.26146157835743739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1.8178525351686402E-14</v>
      </c>
      <c r="BF195" s="13">
        <f t="shared" si="167"/>
        <v>3.3304129621647644E-13</v>
      </c>
      <c r="BG195" s="20">
        <f t="shared" si="168"/>
        <v>6.1170785589788349E-13</v>
      </c>
      <c r="BH195" s="59">
        <f t="shared" si="116"/>
        <v>293.33333333333394</v>
      </c>
      <c r="BI195" s="59">
        <f ca="1">AVERAGE(OFFSET($BH$3,0,0,'Données projet'!$E$11+1,1))-AVERAGE(OFFSET($H$3,0,0,'Données projet'!$E$11+1,1))</f>
        <v>64.256756080189803</v>
      </c>
      <c r="BJ195" s="59">
        <f t="shared" si="146"/>
        <v>209.76343043971747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1.3998813213746024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3.0543992489533237E-25</v>
      </c>
      <c r="BS195" s="22">
        <f t="shared" si="169"/>
        <v>1.3998813213746024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235.10258076192054</v>
      </c>
      <c r="T196" s="59">
        <f t="shared" si="142"/>
        <v>233.47316052603765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0.13578207643199752</v>
      </c>
      <c r="AA196" s="21">
        <f>EXP(-LN(2)/25)*AA195+(1-EXP(-LN(2)/25))/(LN(2)/25)*Calculateur!V196*Calculateur!X196*VLOOKUP('Données projet'!$B$9,Paramètres!$A$1:$I$89,3,0)*0.475*44/12</f>
        <v>0.20087452034232695</v>
      </c>
      <c r="AB196" s="21">
        <f>EXP(-LN(2)/2)*AB195+(1-EXP(-LN(2)/2))/(LN(2)/2)*V196*Y196*VLOOKUP('Données projet'!$B$9,Paramètres!$A$1:$I$89,3,0)*0.475*44/12</f>
        <v>7.0545633510713622E-24</v>
      </c>
      <c r="AC196" s="22">
        <f t="shared" si="163"/>
        <v>0.33665659677432447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-7.4487616075202836E-14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191.94797389630673</v>
      </c>
      <c r="AO196" s="59">
        <f t="shared" si="144"/>
        <v>273.52540822767878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0.1530747632707139</v>
      </c>
      <c r="AW196" s="21">
        <f>EXP(-LN(2)/2)*AW195+(1-EXP(-LN(2)/2))/(LN(2)/2)*AQ196*AT196*VLOOKUP('Données projet'!$B$10,Paramètres!$A$1:$I$89,3,0)*0.475*44/12</f>
        <v>6.7857939952123946E-24</v>
      </c>
      <c r="AX196" s="21">
        <f t="shared" si="166"/>
        <v>0.25511705101354831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1.8178525351686402E-14</v>
      </c>
      <c r="BF196" s="13">
        <f t="shared" si="167"/>
        <v>3.3304129621647644E-13</v>
      </c>
      <c r="BG196" s="20">
        <f t="shared" si="168"/>
        <v>6.1170785589788349E-13</v>
      </c>
      <c r="BH196" s="59">
        <f t="shared" ref="BH196:BH203" si="194">BG196+(AY196+AZ196)*44/12</f>
        <v>293.33333333333394</v>
      </c>
      <c r="BI196" s="59">
        <f ca="1">AVERAGE(OFFSET($BH$3,0,0,'Données projet'!$E$11+1,1))-AVERAGE(OFFSET($H$3,0,0,'Données projet'!$E$11+1,1))</f>
        <v>64.256756080189803</v>
      </c>
      <c r="BJ196" s="59">
        <f t="shared" si="146"/>
        <v>209.76343043971747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1.3724305025057424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2.1597864213859929E-25</v>
      </c>
      <c r="BS196" s="22">
        <f t="shared" si="169"/>
        <v>1.3724305025057424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235.10258076192054</v>
      </c>
      <c r="T197" s="59">
        <f t="shared" ref="T197:T203" si="204">$T$3</f>
        <v>233.47316052603765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0.13311947273205499</v>
      </c>
      <c r="AA197" s="21">
        <f>EXP(-LN(2)/25)*AA196+(1-EXP(-LN(2)/25))/(LN(2)/25)*Calculateur!V197*Calculateur!X197*VLOOKUP('Données projet'!$B$9,Paramètres!$A$1:$I$89,3,0)*0.475*44/12</f>
        <v>0.1953815960200341</v>
      </c>
      <c r="AB197" s="21">
        <f>EXP(-LN(2)/2)*AB196+(1-EXP(-LN(2)/2))/(LN(2)/2)*V197*Y197*VLOOKUP('Données projet'!$B$9,Paramètres!$A$1:$I$89,3,0)*0.475*44/12</f>
        <v>4.9883295838526552E-24</v>
      </c>
      <c r="AC197" s="22">
        <f t="shared" si="163"/>
        <v>0.32850106875208906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-7.4487616075202836E-14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191.94797389630673</v>
      </c>
      <c r="AO197" s="59">
        <f t="shared" ref="AO197:AO203" si="205">$AO$3</f>
        <v>273.52540822767878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0.14888892581922428</v>
      </c>
      <c r="AW197" s="21">
        <f>EXP(-LN(2)/2)*AW196+(1-EXP(-LN(2)/2))/(LN(2)/2)*AQ197*AT197*VLOOKUP('Données projet'!$B$10,Paramètres!$A$1:$I$89,3,0)*0.475*44/12</f>
        <v>4.798280949749639E-24</v>
      </c>
      <c r="AX197" s="21">
        <f t="shared" si="166"/>
        <v>0.2489302265390716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1.8178525351686402E-14</v>
      </c>
      <c r="BF197" s="13">
        <f t="shared" si="167"/>
        <v>3.3304129621647644E-13</v>
      </c>
      <c r="BG197" s="20">
        <f t="shared" si="168"/>
        <v>6.1170785589788349E-13</v>
      </c>
      <c r="BH197" s="59">
        <f t="shared" si="194"/>
        <v>293.33333333333394</v>
      </c>
      <c r="BI197" s="59">
        <f ca="1">AVERAGE(OFFSET($BH$3,0,0,'Données projet'!$E$11+1,1))-AVERAGE(OFFSET($H$3,0,0,'Données projet'!$E$11+1,1))</f>
        <v>64.256756080189803</v>
      </c>
      <c r="BJ197" s="59">
        <f t="shared" ref="BJ197:BJ203" si="206">$BJ$3</f>
        <v>209.76343043971747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1.3455179774515547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1.5271996244766618E-25</v>
      </c>
      <c r="BS197" s="22">
        <f t="shared" si="169"/>
        <v>1.3455179774515547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235.10258076192054</v>
      </c>
      <c r="T198" s="59">
        <f t="shared" si="204"/>
        <v>233.47316052603765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0.13050908106664044</v>
      </c>
      <c r="AA198" s="21">
        <f>EXP(-LN(2)/25)*AA197+(1-EXP(-LN(2)/25))/(LN(2)/25)*Calculateur!V198*Calculateur!X198*VLOOKUP('Données projet'!$B$9,Paramètres!$A$1:$I$89,3,0)*0.475*44/12</f>
        <v>0.19003887600219468</v>
      </c>
      <c r="AB198" s="21">
        <f>EXP(-LN(2)/2)*AB197+(1-EXP(-LN(2)/2))/(LN(2)/2)*V198*Y198*VLOOKUP('Données projet'!$B$9,Paramètres!$A$1:$I$89,3,0)*0.475*44/12</f>
        <v>3.5272816755356811E-24</v>
      </c>
      <c r="AC198" s="22">
        <f t="shared" si="163"/>
        <v>0.3205479570688351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-7.4487616075202836E-14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191.94797389630673</v>
      </c>
      <c r="AO198" s="59">
        <f t="shared" si="205"/>
        <v>273.52540822767878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0.14481755031296928</v>
      </c>
      <c r="AW198" s="21">
        <f>EXP(-LN(2)/2)*AW197+(1-EXP(-LN(2)/2))/(LN(2)/2)*AQ198*AT198*VLOOKUP('Données projet'!$B$10,Paramètres!$A$1:$I$89,3,0)*0.475*44/12</f>
        <v>3.3928969976061973E-24</v>
      </c>
      <c r="AX198" s="21">
        <f t="shared" si="166"/>
        <v>0.24289710214486868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1.8178525351686402E-14</v>
      </c>
      <c r="BF198" s="13">
        <f t="shared" si="167"/>
        <v>3.3304129621647644E-13</v>
      </c>
      <c r="BG198" s="20">
        <f t="shared" si="168"/>
        <v>6.1170785589788349E-13</v>
      </c>
      <c r="BH198" s="59">
        <f t="shared" si="194"/>
        <v>293.33333333333394</v>
      </c>
      <c r="BI198" s="59">
        <f ca="1">AVERAGE(OFFSET($BH$3,0,0,'Données projet'!$E$11+1,1))-AVERAGE(OFFSET($H$3,0,0,'Données projet'!$E$11+1,1))</f>
        <v>64.256756080189803</v>
      </c>
      <c r="BJ198" s="59">
        <f t="shared" si="206"/>
        <v>209.76343043971747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1.3191331905986601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1.0798932106929965E-25</v>
      </c>
      <c r="BS198" s="22">
        <f t="shared" si="169"/>
        <v>1.3191331905986601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235.10258076192054</v>
      </c>
      <c r="T199" s="59">
        <f t="shared" si="204"/>
        <v>233.47316052603765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0.12794987758960297</v>
      </c>
      <c r="AA199" s="21">
        <f>EXP(-LN(2)/25)*AA198+(1-EXP(-LN(2)/25))/(LN(2)/25)*Calculateur!V199*Calculateur!X199*VLOOKUP('Données projet'!$B$9,Paramètres!$A$1:$I$89,3,0)*0.475*44/12</f>
        <v>0.18484225294420453</v>
      </c>
      <c r="AB199" s="21">
        <f>EXP(-LN(2)/2)*AB198+(1-EXP(-LN(2)/2))/(LN(2)/2)*V199*Y199*VLOOKUP('Données projet'!$B$9,Paramètres!$A$1:$I$89,3,0)*0.475*44/12</f>
        <v>2.4941647919263276E-24</v>
      </c>
      <c r="AC199" s="22">
        <f t="shared" si="163"/>
        <v>0.3127921305338075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-7.4487616075202836E-14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191.94797389630673</v>
      </c>
      <c r="AO199" s="59">
        <f t="shared" si="205"/>
        <v>273.52540822767878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0.14085750678403713</v>
      </c>
      <c r="AW199" s="21">
        <f>EXP(-LN(2)/2)*AW198+(1-EXP(-LN(2)/2))/(LN(2)/2)*AQ199*AT199*VLOOKUP('Données projet'!$B$10,Paramètres!$A$1:$I$89,3,0)*0.475*44/12</f>
        <v>2.3991404748748195E-24</v>
      </c>
      <c r="AX199" s="21">
        <f t="shared" si="166"/>
        <v>0.23701377842713262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1.8178525351686402E-14</v>
      </c>
      <c r="BF199" s="13">
        <f t="shared" si="167"/>
        <v>3.3304129621647644E-13</v>
      </c>
      <c r="BG199" s="20">
        <f t="shared" si="168"/>
        <v>6.1170785589788349E-13</v>
      </c>
      <c r="BH199" s="59">
        <f t="shared" si="194"/>
        <v>293.33333333333394</v>
      </c>
      <c r="BI199" s="59">
        <f ca="1">AVERAGE(OFFSET($BH$3,0,0,'Données projet'!$E$11+1,1))-AVERAGE(OFFSET($H$3,0,0,'Données projet'!$E$11+1,1))</f>
        <v>64.256756080189803</v>
      </c>
      <c r="BJ199" s="59">
        <f t="shared" si="206"/>
        <v>209.76343043971747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1.2932657933228198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7.6359981223833092E-26</v>
      </c>
      <c r="BS199" s="22">
        <f t="shared" si="169"/>
        <v>1.2932657933228198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235.10258076192054</v>
      </c>
      <c r="T200" s="59">
        <f t="shared" si="204"/>
        <v>233.47316052603765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0.12544085853179021</v>
      </c>
      <c r="AA200" s="21">
        <f>EXP(-LN(2)/25)*AA199+(1-EXP(-LN(2)/25))/(LN(2)/25)*Calculateur!V200*Calculateur!X200*VLOOKUP('Données projet'!$B$9,Paramètres!$A$1:$I$89,3,0)*0.475*44/12</f>
        <v>0.17978773181701363</v>
      </c>
      <c r="AB200" s="21">
        <f>EXP(-LN(2)/2)*AB199+(1-EXP(-LN(2)/2))/(LN(2)/2)*V200*Y200*VLOOKUP('Données projet'!$B$9,Paramètres!$A$1:$I$89,3,0)*0.475*44/12</f>
        <v>1.7636408377678406E-24</v>
      </c>
      <c r="AC200" s="22">
        <f t="shared" si="163"/>
        <v>0.30522859034880384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-7.4487616075202836E-14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191.94797389630673</v>
      </c>
      <c r="AO200" s="59">
        <f t="shared" si="205"/>
        <v>273.52540822767878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0.1370057508536533</v>
      </c>
      <c r="AW200" s="21">
        <f>EXP(-LN(2)/2)*AW199+(1-EXP(-LN(2)/2))/(LN(2)/2)*AQ200*AT200*VLOOKUP('Données projet'!$B$10,Paramètres!$A$1:$I$89,3,0)*0.475*44/12</f>
        <v>1.6964484988030986E-24</v>
      </c>
      <c r="AX200" s="21">
        <f t="shared" si="166"/>
        <v>0.23127645665936222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1.8178525351686402E-14</v>
      </c>
      <c r="BF200" s="13">
        <f t="shared" si="167"/>
        <v>3.3304129621647644E-13</v>
      </c>
      <c r="BG200" s="20">
        <f t="shared" si="168"/>
        <v>6.1170785589788349E-13</v>
      </c>
      <c r="BH200" s="59">
        <f t="shared" si="194"/>
        <v>293.33333333333394</v>
      </c>
      <c r="BI200" s="59">
        <f ca="1">AVERAGE(OFFSET($BH$3,0,0,'Données projet'!$E$11+1,1))-AVERAGE(OFFSET($H$3,0,0,'Données projet'!$E$11+1,1))</f>
        <v>64.256756080189803</v>
      </c>
      <c r="BJ200" s="59">
        <f t="shared" si="206"/>
        <v>209.76343043971747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1.2679056399300042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5.3994660534649823E-26</v>
      </c>
      <c r="BS200" s="22">
        <f t="shared" si="169"/>
        <v>1.2679056399300042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235.10258076192054</v>
      </c>
      <c r="T201" s="59">
        <f t="shared" si="204"/>
        <v>233.47316052603765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0.12298103980735064</v>
      </c>
      <c r="AA201" s="21">
        <f>EXP(-LN(2)/25)*AA200+(1-EXP(-LN(2)/25))/(LN(2)/25)*Calculateur!V201*Calculateur!X201*VLOOKUP('Données projet'!$B$9,Paramètres!$A$1:$I$89,3,0)*0.475*44/12</f>
        <v>0.1748714268358515</v>
      </c>
      <c r="AB201" s="21">
        <f>EXP(-LN(2)/2)*AB200+(1-EXP(-LN(2)/2))/(LN(2)/2)*V201*Y201*VLOOKUP('Données projet'!$B$9,Paramètres!$A$1:$I$89,3,0)*0.475*44/12</f>
        <v>1.2470823959631638E-24</v>
      </c>
      <c r="AC201" s="22">
        <f t="shared" si="163"/>
        <v>0.29785246664320214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-7.4487616075202836E-14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191.94797389630673</v>
      </c>
      <c r="AO201" s="59">
        <f t="shared" si="205"/>
        <v>273.52540822767878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0.13325932139174085</v>
      </c>
      <c r="AW201" s="21">
        <f>EXP(-LN(2)/2)*AW200+(1-EXP(-LN(2)/2))/(LN(2)/2)*AQ201*AT201*VLOOKUP('Données projet'!$B$10,Paramètres!$A$1:$I$89,3,0)*0.475*44/12</f>
        <v>1.1995702374374097E-24</v>
      </c>
      <c r="AX201" s="21">
        <f t="shared" si="166"/>
        <v>0.22568143615605277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1.8178525351686402E-14</v>
      </c>
      <c r="BF201" s="13">
        <f t="shared" si="167"/>
        <v>3.3304129621647644E-13</v>
      </c>
      <c r="BG201" s="20">
        <f t="shared" si="168"/>
        <v>6.1170785589788349E-13</v>
      </c>
      <c r="BH201" s="59">
        <f t="shared" si="194"/>
        <v>293.33333333333394</v>
      </c>
      <c r="BI201" s="59">
        <f ca="1">AVERAGE(OFFSET($BH$3,0,0,'Données projet'!$E$11+1,1))-AVERAGE(OFFSET($H$3,0,0,'Données projet'!$E$11+1,1))</f>
        <v>64.256756080189803</v>
      </c>
      <c r="BJ201" s="59">
        <f t="shared" si="206"/>
        <v>209.76343043971747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1.2430427836770555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3.8179990611916546E-26</v>
      </c>
      <c r="BS201" s="22">
        <f t="shared" si="169"/>
        <v>1.2430427836770555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235.10258076192054</v>
      </c>
      <c r="T202" s="59">
        <f t="shared" si="204"/>
        <v>233.47316052603765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0.12056945662775606</v>
      </c>
      <c r="AA202" s="21">
        <f>EXP(-LN(2)/25)*AA201+(1-EXP(-LN(2)/25))/(LN(2)/25)*Calculateur!V202*Calculateur!X202*VLOOKUP('Données projet'!$B$9,Paramètres!$A$1:$I$89,3,0)*0.475*44/12</f>
        <v>0.17008955847293647</v>
      </c>
      <c r="AB202" s="21">
        <f>EXP(-LN(2)/2)*AB201+(1-EXP(-LN(2)/2))/(LN(2)/2)*V202*Y202*VLOOKUP('Données projet'!$B$9,Paramètres!$A$1:$I$89,3,0)*0.475*44/12</f>
        <v>8.8182041888392028E-25</v>
      </c>
      <c r="AC202" s="22">
        <f t="shared" si="163"/>
        <v>0.29065901510069253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-7.4487616075202836E-14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191.94797389630673</v>
      </c>
      <c r="AO202" s="59">
        <f t="shared" si="205"/>
        <v>273.52540822767878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0.12961533824048055</v>
      </c>
      <c r="AW202" s="21">
        <f>EXP(-LN(2)/2)*AW201+(1-EXP(-LN(2)/2))/(LN(2)/2)*AQ202*AT202*VLOOKUP('Données projet'!$B$10,Paramètres!$A$1:$I$89,3,0)*0.475*44/12</f>
        <v>8.4822424940154932E-25</v>
      </c>
      <c r="AX202" s="21">
        <f t="shared" si="166"/>
        <v>0.22022511170618805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1.8178525351686402E-14</v>
      </c>
      <c r="BF202" s="13">
        <f t="shared" si="167"/>
        <v>3.3304129621647644E-13</v>
      </c>
      <c r="BG202" s="20">
        <f t="shared" si="168"/>
        <v>6.1170785589788349E-13</v>
      </c>
      <c r="BH202" s="59">
        <f t="shared" si="194"/>
        <v>293.33333333333394</v>
      </c>
      <c r="BI202" s="59">
        <f ca="1">AVERAGE(OFFSET($BH$3,0,0,'Données projet'!$E$11+1,1))-AVERAGE(OFFSET($H$3,0,0,'Données projet'!$E$11+1,1))</f>
        <v>64.256756080189803</v>
      </c>
      <c r="BJ202" s="59">
        <f t="shared" si="206"/>
        <v>209.76343043971747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1.2186674728703824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2.6997330267324912E-26</v>
      </c>
      <c r="BS202" s="22">
        <f t="shared" si="169"/>
        <v>1.2186674728703824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235.10258076192054</v>
      </c>
      <c r="T203" s="59">
        <f t="shared" si="204"/>
        <v>233.47316052603765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0.11820516312339283</v>
      </c>
      <c r="AA203" s="21">
        <f>EXP(-LN(2)/25)*AA202+(1-EXP(-LN(2)/25))/(LN(2)/25)*Calculateur!V203*Calculateur!X203*VLOOKUP('Données projet'!$B$9,Paramètres!$A$1:$I$89,3,0)*0.475*44/12</f>
        <v>0.1654384505518729</v>
      </c>
      <c r="AB203" s="21">
        <f>EXP(-LN(2)/2)*AB202+(1-EXP(-LN(2)/2))/(LN(2)/2)*V203*Y203*VLOOKUP('Données projet'!$B$9,Paramètres!$A$1:$I$89,3,0)*0.475*44/12</f>
        <v>6.235411979815819E-25</v>
      </c>
      <c r="AC203" s="22">
        <f t="shared" si="163"/>
        <v>0.28364361367526569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-7.4487616075202836E-14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191.94797389630673</v>
      </c>
      <c r="AO203" s="59">
        <f t="shared" si="205"/>
        <v>273.52540822767878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0.1260710000001202</v>
      </c>
      <c r="AW203" s="21">
        <f>EXP(-LN(2)/2)*AW202+(1-EXP(-LN(2)/2))/(LN(2)/2)*AQ203*AT203*VLOOKUP('Données projet'!$B$10,Paramètres!$A$1:$I$89,3,0)*0.475*44/12</f>
        <v>5.9978511871870487E-25</v>
      </c>
      <c r="AX203" s="21">
        <f t="shared" si="166"/>
        <v>0.21490397107466988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1.8178525351686402E-14</v>
      </c>
      <c r="BF203" s="13">
        <f t="shared" si="167"/>
        <v>3.3304129621647644E-13</v>
      </c>
      <c r="BG203" s="20">
        <f t="shared" si="168"/>
        <v>6.1170785589788349E-13</v>
      </c>
      <c r="BH203" s="59">
        <f t="shared" si="194"/>
        <v>293.33333333333394</v>
      </c>
      <c r="BI203" s="59">
        <f ca="1">AVERAGE(OFFSET($BH$3,0,0,'Données projet'!$E$11+1,1))-AVERAGE(OFFSET($H$3,0,0,'Données projet'!$E$11+1,1))</f>
        <v>64.256756080189803</v>
      </c>
      <c r="BJ203" s="59">
        <f t="shared" si="206"/>
        <v>209.76343043971747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1.1947701470411565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1.9089995305958273E-26</v>
      </c>
      <c r="BS203" s="22">
        <f t="shared" si="169"/>
        <v>1.1947701470411565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1.2599210498948732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1.2620003197767753</v>
      </c>
      <c r="BA205" s="82">
        <f>EXP(LN('Données projet'!B88)/'Données projet'!A88)</f>
        <v>1.3797296614612147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2.1929999999999996</v>
      </c>
      <c r="C6" s="147">
        <f ca="1">IF(OR('Données projet'!B9="",'Données projet'!C9="",'Données projet'!C9=0%),0,Calculateur!S3)</f>
        <v>235.10258076192054</v>
      </c>
      <c r="D6" s="147">
        <f>IF(OR('Données projet'!B9="",'Données projet'!C9="",'Données projet'!C9=0%),0,Calculateur!T3)</f>
        <v>233.47316052603765</v>
      </c>
      <c r="E6" s="147">
        <f ca="1">MIN(C6,D6)</f>
        <v>233.47316052603765</v>
      </c>
      <c r="F6" s="147">
        <f ca="1">E6*B6</f>
        <v>512.00664103360043</v>
      </c>
      <c r="G6" s="147">
        <f ca="1">F6*(100%-'Données projet'!$C$24)*(100%-'Données projet'!$C$25)*(100%-'Données projet'!$C$26)*(100%-'Données projet'!$C$27)</f>
        <v>460.80597693024038</v>
      </c>
      <c r="H6" s="148">
        <f>IF(OR('Données projet'!B9="",'Données projet'!C9="",'Données projet'!C9=0%),0,AVERAGE(Calculateur!$AC$3:$AC$33)*B6)</f>
        <v>7.2786456494519101</v>
      </c>
      <c r="I6" s="149">
        <f>H6*(100%-'Données projet'!$C$24)*(100%-'Données projet'!$C$25)*(100%-'Données projet'!$C$26)*(100%-'Données projet'!$C$27)</f>
        <v>6.5507810845067196</v>
      </c>
      <c r="J6" s="150">
        <f>IF(OR('Données projet'!B9="",'Données projet'!C9="",'Données projet'!C9=0%),0,SUM(Calculateur!$V$3:$V$33)*VLOOKUP('Données projet'!$B$9,Paramètres!$A$1:$I$89,9,0)*B6)</f>
        <v>98.070959999999985</v>
      </c>
      <c r="K6" s="151">
        <f>J6*(100%-'Données projet'!$C$24)*(100%-'Données projet'!$C$25)*(100%-'Données projet'!$C$26)*(100%-'Données projet'!$C$27)</f>
        <v>88.263863999999984</v>
      </c>
      <c r="L6" s="152">
        <f ca="1">G6+I6+K6</f>
        <v>555.62062201474703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2.9239999999999999</v>
      </c>
      <c r="C7" s="147">
        <f ca="1">IF(OR('Données projet'!B10="",'Données projet'!C10="",'Données projet'!C10=0%),0,Calculateur!AN3)</f>
        <v>191.94797389630673</v>
      </c>
      <c r="D7" s="147">
        <f>IF(OR('Données projet'!B10="",'Données projet'!C10="",'Données projet'!C10=0%),0,Calculateur!AO3)</f>
        <v>273.52540822767878</v>
      </c>
      <c r="E7" s="147">
        <f t="shared" ref="E7:E15" ca="1" si="0">MIN(C7,D7)</f>
        <v>191.94797389630673</v>
      </c>
      <c r="F7" s="147">
        <f t="shared" ref="F7:F15" ca="1" si="1">E7*B7</f>
        <v>561.25587567280093</v>
      </c>
      <c r="G7" s="147">
        <f ca="1">F7*(100%-'Données projet'!$C$24)*(100%-'Données projet'!$C$25)*(100%-'Données projet'!$C$26)*(100%-'Données projet'!$C$27)</f>
        <v>505.13028810552083</v>
      </c>
      <c r="H7" s="155">
        <f>IF(OR('Données projet'!B10="",'Données projet'!C10="",'Données projet'!C10=0%),0,AVERAGE(Calculateur!$AX$3:$AX$33)*B7)</f>
        <v>8.5775020677181519</v>
      </c>
      <c r="I7" s="149">
        <f>H7*(100%-'Données projet'!$C$24)*(100%-'Données projet'!$C$25)*(100%-'Données projet'!$C$26)*(100%-'Données projet'!$C$27)</f>
        <v>7.7197518609463369</v>
      </c>
      <c r="J7" s="150">
        <f>IF(OR('Données projet'!B10="",'Données projet'!C10="",'Données projet'!C10=0%),0,SUM(Calculateur!$AQ$3:$AQ$33)*VLOOKUP('Données projet'!$B$10,Paramètres!$A$1:$I$89,9,0)*B7)</f>
        <v>68.713999999999999</v>
      </c>
      <c r="K7" s="151">
        <f>J7*(100%-'Données projet'!$C$24)*(100%-'Données projet'!$C$25)*(100%-'Données projet'!$C$26)*(100%-'Données projet'!$C$27)</f>
        <v>61.842599999999997</v>
      </c>
      <c r="L7" s="152">
        <f t="shared" ref="L7:L15" ca="1" si="2">G7+I7+K7</f>
        <v>574.69263996646714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Tulipier de Virginie</v>
      </c>
      <c r="B8" s="154">
        <f>'Données projet'!D11</f>
        <v>2.1929999999999996</v>
      </c>
      <c r="C8" s="147">
        <f ca="1">IF(OR('Données projet'!B11="",'Données projet'!C11="",'Données projet'!C11=0%),0,Calculateur!BI3)</f>
        <v>64.256756080189803</v>
      </c>
      <c r="D8" s="147">
        <f>IF(OR('Données projet'!B11="",'Données projet'!C11="",'Données projet'!C11=0%),0,Calculateur!BJ3)</f>
        <v>209.76343043971747</v>
      </c>
      <c r="E8" s="147">
        <f t="shared" ca="1" si="0"/>
        <v>64.256756080189803</v>
      </c>
      <c r="F8" s="147">
        <f t="shared" ca="1" si="1"/>
        <v>140.9150660838562</v>
      </c>
      <c r="G8" s="147">
        <f ca="1">F8*(100%-'Données projet'!$C$24)*(100%-'Données projet'!$C$25)*(100%-'Données projet'!$C$26)*(100%-'Données projet'!$C$27)</f>
        <v>126.82355947547059</v>
      </c>
      <c r="H8" s="155">
        <f>IF(OR('Données projet'!B11="",'Données projet'!C11="",'Données projet'!C11=0%),0,AVERAGE(Calculateur!$BS$3:$BS$33)*B8)</f>
        <v>35.391270673874303</v>
      </c>
      <c r="I8" s="149">
        <f>H8*(100%-'Données projet'!$C$24)*(100%-'Données projet'!$C$25)*(100%-'Données projet'!$C$26)*(100%-'Données projet'!$C$27)</f>
        <v>31.852143606486873</v>
      </c>
      <c r="J8" s="150">
        <f>IF(OR('Données projet'!B11="",'Données projet'!C11="",'Données projet'!C11=0%),0,SUM(Calculateur!$BL$3:$BL$33)*VLOOKUP('Données projet'!$B$11,Paramètres!$A$1:$I$89,9,0)*B8)</f>
        <v>97.588499999999982</v>
      </c>
      <c r="K8" s="151">
        <f>J8*(100%-'Données projet'!$C$24)*(100%-'Données projet'!$C$25)*(100%-'Données projet'!$C$26)*(100%-'Données projet'!$C$27)</f>
        <v>87.829649999999987</v>
      </c>
      <c r="L8" s="152">
        <f t="shared" ca="1" si="2"/>
        <v>246.50535308195745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1214.1775827902575</v>
      </c>
      <c r="G16" s="166">
        <f t="shared" ca="1" si="3"/>
        <v>1092.7598245112317</v>
      </c>
      <c r="H16" s="167">
        <f t="shared" si="3"/>
        <v>51.247418391044363</v>
      </c>
      <c r="I16" s="167">
        <f t="shared" si="3"/>
        <v>46.122676551939932</v>
      </c>
      <c r="J16" s="168">
        <f t="shared" si="3"/>
        <v>264.37345999999997</v>
      </c>
      <c r="K16" s="168">
        <f t="shared" si="3"/>
        <v>237.93611399999998</v>
      </c>
      <c r="L16" s="169">
        <f t="shared" ca="1" si="3"/>
        <v>1376.8186150631716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Tulipier de Virginie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J23" sqref="J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1767.9249736339793</v>
      </c>
      <c r="U10" s="178">
        <f>'Données projet'!D9</f>
        <v>2.1929999999999996</v>
      </c>
      <c r="V10" s="177">
        <f>U10*T10</f>
        <v>3877.059467179316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-1001.0450125041621</v>
      </c>
      <c r="U11" s="178">
        <f>'Données projet'!D10</f>
        <v>2.9239999999999999</v>
      </c>
      <c r="V11" s="177">
        <f t="shared" ref="V11" si="0">U11*T11</f>
        <v>-2927.0556165621697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Tulipier de Virginie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1290.9214511928021</v>
      </c>
      <c r="U12" s="178">
        <f>'Données projet'!D11</f>
        <v>2.1929999999999996</v>
      </c>
      <c r="V12" s="177">
        <f t="shared" ref="V12:V19" si="1">U12*T12</f>
        <v>2830.9907424658145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1866.2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775+680+3723.09</f>
        <v>5178.09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450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-43113.561550503167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20</v>
      </c>
      <c r="C24" s="193">
        <v>12</v>
      </c>
      <c r="D24" s="182">
        <f t="shared" ref="D24:D42" si="2">B24*C24</f>
        <v>240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518.59148655140541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84</v>
      </c>
      <c r="C25" s="193">
        <v>35</v>
      </c>
      <c r="D25" s="182">
        <f t="shared" si="2"/>
        <v>2940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-43632.153037054573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84</v>
      </c>
      <c r="C26" s="193">
        <v>45</v>
      </c>
      <c r="D26" s="182">
        <f t="shared" si="2"/>
        <v>3780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84</v>
      </c>
      <c r="C27" s="193">
        <v>50</v>
      </c>
      <c r="D27" s="182">
        <f t="shared" si="2"/>
        <v>4200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69</v>
      </c>
      <c r="C28" s="193">
        <v>55</v>
      </c>
      <c r="D28" s="182">
        <f t="shared" si="2"/>
        <v>3795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54</v>
      </c>
      <c r="C29" s="193">
        <v>60</v>
      </c>
      <c r="D29" s="182">
        <f t="shared" si="2"/>
        <v>3240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514</v>
      </c>
      <c r="C30" s="193">
        <v>80</v>
      </c>
      <c r="D30" s="182">
        <f t="shared" si="2"/>
        <v>41120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2012.83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32</v>
      </c>
      <c r="C54" s="191">
        <v>8</v>
      </c>
      <c r="D54" s="179">
        <f>B54*C54</f>
        <v>256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62</v>
      </c>
      <c r="C55" s="191">
        <v>15</v>
      </c>
      <c r="D55" s="179">
        <f t="shared" ref="D55:D73" si="4">B55*C55</f>
        <v>930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58</v>
      </c>
      <c r="C56" s="191">
        <v>25</v>
      </c>
      <c r="D56" s="179">
        <f t="shared" si="4"/>
        <v>1450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50</v>
      </c>
      <c r="C57" s="191">
        <v>30</v>
      </c>
      <c r="D57" s="179">
        <f t="shared" si="4"/>
        <v>1500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40</v>
      </c>
      <c r="C58" s="191">
        <v>35</v>
      </c>
      <c r="D58" s="179">
        <f t="shared" si="4"/>
        <v>1400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32</v>
      </c>
      <c r="C59" s="191">
        <v>40</v>
      </c>
      <c r="D59" s="179">
        <f t="shared" si="4"/>
        <v>1280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24</v>
      </c>
      <c r="C60" s="191">
        <v>45</v>
      </c>
      <c r="D60" s="179">
        <f t="shared" si="4"/>
        <v>1080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225</v>
      </c>
      <c r="C61" s="191">
        <v>70</v>
      </c>
      <c r="D61" s="179">
        <f t="shared" si="4"/>
        <v>15750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Tulipier de Virginie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2399.4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5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10</v>
      </c>
      <c r="B86" s="181">
        <f>'Données projet'!D89</f>
        <v>0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15</v>
      </c>
      <c r="B87" s="181">
        <f>'Données projet'!D90</f>
        <v>0</v>
      </c>
      <c r="C87" s="191">
        <v>0</v>
      </c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20</v>
      </c>
      <c r="B88" s="181">
        <f>'Données projet'!D91</f>
        <v>178</v>
      </c>
      <c r="C88" s="191">
        <v>50</v>
      </c>
      <c r="D88" s="179">
        <f t="shared" si="6"/>
        <v>8900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2024-04-22T13:05:09Z</dcterms:modified>
</cp:coreProperties>
</file>