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Dezecache_Brion (01)\Dossier d_instruction\"/>
    </mc:Choice>
  </mc:AlternateContent>
  <xr:revisionPtr revIDLastSave="0" documentId="13_ncr:1_{CF081082-70FD-445E-9C81-06163696797C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<sst xmlns="http://schemas.openxmlformats.org/spreadsheetml/2006/main" count="1172" uniqueCount="324">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</sst>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1.5965320682498849</c:v>
                </c:pt>
                <c:pt idx="2">
                  <c:v>2.0804656684191585</c:v>
                </c:pt>
                <c:pt idx="3">
                  <c:v>2.7116929244465795</c:v>
                </c:pt>
                <c:pt idx="4">
                  <c:v>3.5352194693690122</c:v>
                </c:pt>
                <c:pt idx="5">
                  <c:v>4.6098523220329826</c:v>
                </c:pt>
                <c:pt idx="6">
                  <c:v>6.0124464417853689</c:v>
                </c:pt>
                <c:pt idx="7">
                  <c:v>7.8434619535748142</c:v>
                </c:pt>
                <c:pt idx="8">
                  <c:v>10.234237719242712</c:v>
                </c:pt>
                <c:pt idx="9">
                  <c:v>13.356512818353137</c:v>
                </c:pt>
                <c:pt idx="10">
                  <c:v>17.434892545536155</c:v>
                </c:pt>
                <c:pt idx="11">
                  <c:v>22.763171935699592</c:v>
                </c:pt>
                <c:pt idx="12">
                  <c:v>29.725713609608871</c:v>
                </c:pt>
                <c:pt idx="13">
                  <c:v>38.825448909765242</c:v>
                </c:pt>
                <c:pt idx="14">
                  <c:v>50.720559458970314</c:v>
                </c:pt>
                <c:pt idx="15">
                  <c:v>66.272536635761469</c:v>
                </c:pt>
                <c:pt idx="16">
                  <c:v>87.39720941194355</c:v>
                </c:pt>
                <c:pt idx="17">
                  <c:v>108.39275296262326</c:v>
                </c:pt>
                <c:pt idx="18">
                  <c:v>129.28787235572034</c:v>
                </c:pt>
                <c:pt idx="19">
                  <c:v>150.10114082611082</c:v>
                </c:pt>
                <c:pt idx="20">
                  <c:v>170.84552734277023</c:v>
                </c:pt>
                <c:pt idx="21">
                  <c:v>171.25165998446093</c:v>
                </c:pt>
                <c:pt idx="22">
                  <c:v>198.00899198585157</c:v>
                </c:pt>
                <c:pt idx="23">
                  <c:v>224.68234460131828</c:v>
                </c:pt>
                <c:pt idx="24">
                  <c:v>251.28309296155351</c:v>
                </c:pt>
                <c:pt idx="25">
                  <c:v>277.82000253977031</c:v>
                </c:pt>
                <c:pt idx="26">
                  <c:v>236.17737575758818</c:v>
                </c:pt>
                <c:pt idx="27">
                  <c:v>264.96112067399923</c:v>
                </c:pt>
                <c:pt idx="28">
                  <c:v>293.67434397510982</c:v>
                </c:pt>
                <c:pt idx="29">
                  <c:v>322.32490612511452</c:v>
                </c:pt>
                <c:pt idx="30">
                  <c:v>350.91915547472769</c:v>
                </c:pt>
                <c:pt idx="31">
                  <c:v>309.91024204064519</c:v>
                </c:pt>
                <c:pt idx="32">
                  <c:v>338.92806802551468</c:v>
                </c:pt>
                <c:pt idx="33">
                  <c:v>367.89123357271296</c:v>
                </c:pt>
                <c:pt idx="34">
                  <c:v>396.8046424854017</c:v>
                </c:pt>
                <c:pt idx="35">
                  <c:v>425.67242592235584</c:v>
                </c:pt>
                <c:pt idx="36">
                  <c:v>383.64994645368193</c:v>
                </c:pt>
                <c:pt idx="37">
                  <c:v>411.34354777767368</c:v>
                </c:pt>
                <c:pt idx="38">
                  <c:v>438.99691752196122</c:v>
                </c:pt>
                <c:pt idx="39">
                  <c:v>466.61294333655428</c:v>
                </c:pt>
                <c:pt idx="40">
                  <c:v>494.19414347908759</c:v>
                </c:pt>
                <c:pt idx="41">
                  <c:v>450.72323552042934</c:v>
                </c:pt>
                <c:pt idx="42">
                  <c:v>476.73658583815109</c:v>
                </c:pt>
                <c:pt idx="43">
                  <c:v>502.71975654847256</c:v>
                </c:pt>
                <c:pt idx="44">
                  <c:v>528.67452504254368</c:v>
                </c:pt>
                <c:pt idx="45">
                  <c:v>554.60248014049159</c:v>
                </c:pt>
                <c:pt idx="46">
                  <c:v>509.6569483285125</c:v>
                </c:pt>
                <c:pt idx="47">
                  <c:v>534.02059922958108</c:v>
                </c:pt>
                <c:pt idx="48">
                  <c:v>558.36088338556658</c:v>
                </c:pt>
                <c:pt idx="49">
                  <c:v>582.67896154742527</c:v>
                </c:pt>
                <c:pt idx="50">
                  <c:v>606.97588978345209</c:v>
                </c:pt>
                <c:pt idx="51">
                  <c:v>560.53655870248713</c:v>
                </c:pt>
                <c:pt idx="52">
                  <c:v>583.2718170955078</c:v>
                </c:pt>
                <c:pt idx="53">
                  <c:v>605.98860961044454</c:v>
                </c:pt>
                <c:pt idx="54">
                  <c:v>628.687725133664</c:v>
                </c:pt>
                <c:pt idx="55">
                  <c:v>651.3698910026161</c:v>
                </c:pt>
                <c:pt idx="56">
                  <c:v>610.33239332688595</c:v>
                </c:pt>
                <c:pt idx="57">
                  <c:v>631.44992446698484</c:v>
                </c:pt>
                <c:pt idx="58">
                  <c:v>652.55285597369698</c:v>
                </c:pt>
                <c:pt idx="59">
                  <c:v>673.64172594616355</c:v>
                </c:pt>
                <c:pt idx="60">
                  <c:v>694.71703608163716</c:v>
                </c:pt>
                <c:pt idx="61">
                  <c:v>659.25549182776842</c:v>
                </c:pt>
                <c:pt idx="62">
                  <c:v>678.96105497560336</c:v>
                </c:pt>
                <c:pt idx="63">
                  <c:v>698.65488065528427</c:v>
                </c:pt>
                <c:pt idx="64">
                  <c:v>718.33734596845068</c:v>
                </c:pt>
                <c:pt idx="65">
                  <c:v>738.00880568863431</c:v>
                </c:pt>
                <c:pt idx="66">
                  <c:v>704.7576429027182</c:v>
                </c:pt>
                <c:pt idx="67">
                  <c:v>722.66599941596871</c:v>
                </c:pt>
                <c:pt idx="68">
                  <c:v>740.56530474645945</c:v>
                </c:pt>
                <c:pt idx="69">
                  <c:v>758.45580825595152</c:v>
                </c:pt>
                <c:pt idx="70">
                  <c:v>776.33774659506389</c:v>
                </c:pt>
                <c:pt idx="71">
                  <c:v>744.89127897250319</c:v>
                </c:pt>
                <c:pt idx="72">
                  <c:v>761.60049938263728</c:v>
                </c:pt>
                <c:pt idx="73">
                  <c:v>778.3022821864339</c:v>
                </c:pt>
                <c:pt idx="74">
                  <c:v>794.99680931890123</c:v>
                </c:pt>
                <c:pt idx="75">
                  <c:v>811.6842544585561</c:v>
                </c:pt>
                <c:pt idx="76">
                  <c:v>780.85602837776469</c:v>
                </c:pt>
                <c:pt idx="77">
                  <c:v>796.17497694671363</c:v>
                </c:pt>
                <c:pt idx="78">
                  <c:v>811.48797209662314</c:v>
                </c:pt>
                <c:pt idx="79">
                  <c:v>826.79514189431723</c:v>
                </c:pt>
                <c:pt idx="80">
                  <c:v>842.09660928248729</c:v>
                </c:pt>
                <c:pt idx="81">
                  <c:v>797.94216236075533</c:v>
                </c:pt>
                <c:pt idx="82">
                  <c:v>797.94216236075533</c:v>
                </c:pt>
                <c:pt idx="83">
                  <c:v>797.94216236075533</c:v>
                </c:pt>
                <c:pt idx="84">
                  <c:v>797.94216236075533</c:v>
                </c:pt>
                <c:pt idx="85">
                  <c:v>797.94216236075533</c:v>
                </c:pt>
                <c:pt idx="86">
                  <c:v>797.94216236075533</c:v>
                </c:pt>
                <c:pt idx="87">
                  <c:v>797.94216236075533</c:v>
                </c:pt>
                <c:pt idx="88">
                  <c:v>797.94216236075533</c:v>
                </c:pt>
                <c:pt idx="89">
                  <c:v>797.94216236075533</c:v>
                </c:pt>
                <c:pt idx="90">
                  <c:v>797.94216236075533</c:v>
                </c:pt>
                <c:pt idx="91">
                  <c:v>797.94216236075533</c:v>
                </c:pt>
                <c:pt idx="92">
                  <c:v>797.94216236075533</c:v>
                </c:pt>
                <c:pt idx="93">
                  <c:v>797.94216236075533</c:v>
                </c:pt>
                <c:pt idx="94">
                  <c:v>797.94216236075533</c:v>
                </c:pt>
                <c:pt idx="95">
                  <c:v>797.94216236075533</c:v>
                </c:pt>
                <c:pt idx="96">
                  <c:v>797.94216236075533</c:v>
                </c:pt>
                <c:pt idx="97">
                  <c:v>797.94216236075533</c:v>
                </c:pt>
                <c:pt idx="98">
                  <c:v>797.94216236075533</c:v>
                </c:pt>
                <c:pt idx="99">
                  <c:v>797.94216236075533</c:v>
                </c:pt>
                <c:pt idx="100">
                  <c:v>797.94216236075533</c:v>
                </c:pt>
                <c:pt idx="101">
                  <c:v>797.94216236075533</c:v>
                </c:pt>
                <c:pt idx="102">
                  <c:v>797.94216236075533</c:v>
                </c:pt>
                <c:pt idx="103">
                  <c:v>797.94216236075533</c:v>
                </c:pt>
                <c:pt idx="104">
                  <c:v>797.94216236075533</c:v>
                </c:pt>
                <c:pt idx="105">
                  <c:v>797.94216236075533</c:v>
                </c:pt>
                <c:pt idx="106">
                  <c:v>797.94216236075533</c:v>
                </c:pt>
                <c:pt idx="107">
                  <c:v>797.94216236075533</c:v>
                </c:pt>
                <c:pt idx="108">
                  <c:v>797.94216236075533</c:v>
                </c:pt>
                <c:pt idx="109">
                  <c:v>797.94216236075533</c:v>
                </c:pt>
                <c:pt idx="110">
                  <c:v>797.94216236075533</c:v>
                </c:pt>
                <c:pt idx="111">
                  <c:v>797.94216236075533</c:v>
                </c:pt>
                <c:pt idx="112">
                  <c:v>797.94216236075533</c:v>
                </c:pt>
                <c:pt idx="113">
                  <c:v>797.94216236075533</c:v>
                </c:pt>
                <c:pt idx="114">
                  <c:v>797.94216236075533</c:v>
                </c:pt>
                <c:pt idx="115">
                  <c:v>797.94216236075533</c:v>
                </c:pt>
                <c:pt idx="116">
                  <c:v>797.94216236075533</c:v>
                </c:pt>
                <c:pt idx="117">
                  <c:v>797.94216236075533</c:v>
                </c:pt>
                <c:pt idx="118">
                  <c:v>797.94216236075533</c:v>
                </c:pt>
                <c:pt idx="119">
                  <c:v>797.94216236075533</c:v>
                </c:pt>
                <c:pt idx="120">
                  <c:v>797.94216236075533</c:v>
                </c:pt>
                <c:pt idx="121">
                  <c:v>797.94216236075533</c:v>
                </c:pt>
                <c:pt idx="122">
                  <c:v>797.94216236075533</c:v>
                </c:pt>
                <c:pt idx="123">
                  <c:v>797.94216236075533</c:v>
                </c:pt>
                <c:pt idx="124">
                  <c:v>797.94216236075533</c:v>
                </c:pt>
                <c:pt idx="125">
                  <c:v>797.94216236075533</c:v>
                </c:pt>
                <c:pt idx="126">
                  <c:v>797.94216236075533</c:v>
                </c:pt>
                <c:pt idx="127">
                  <c:v>797.94216236075533</c:v>
                </c:pt>
                <c:pt idx="128">
                  <c:v>797.94216236075533</c:v>
                </c:pt>
                <c:pt idx="129">
                  <c:v>797.94216236075533</c:v>
                </c:pt>
                <c:pt idx="130">
                  <c:v>797.94216236075533</c:v>
                </c:pt>
                <c:pt idx="131">
                  <c:v>797.94216236075533</c:v>
                </c:pt>
                <c:pt idx="132">
                  <c:v>797.94216236075533</c:v>
                </c:pt>
                <c:pt idx="133">
                  <c:v>797.94216236075533</c:v>
                </c:pt>
                <c:pt idx="134">
                  <c:v>797.94216236075533</c:v>
                </c:pt>
                <c:pt idx="135">
                  <c:v>797.94216236075533</c:v>
                </c:pt>
                <c:pt idx="136">
                  <c:v>797.94216236075533</c:v>
                </c:pt>
                <c:pt idx="137">
                  <c:v>797.94216236075533</c:v>
                </c:pt>
                <c:pt idx="138">
                  <c:v>797.94216236075533</c:v>
                </c:pt>
                <c:pt idx="139">
                  <c:v>797.94216236075533</c:v>
                </c:pt>
                <c:pt idx="140">
                  <c:v>797.94216236075533</c:v>
                </c:pt>
                <c:pt idx="141">
                  <c:v>797.94216236075533</c:v>
                </c:pt>
                <c:pt idx="142">
                  <c:v>797.94216236075533</c:v>
                </c:pt>
                <c:pt idx="143">
                  <c:v>797.94216236075533</c:v>
                </c:pt>
                <c:pt idx="144">
                  <c:v>797.94216236075533</c:v>
                </c:pt>
                <c:pt idx="145">
                  <c:v>797.94216236075533</c:v>
                </c:pt>
                <c:pt idx="146">
                  <c:v>797.94216236075533</c:v>
                </c:pt>
                <c:pt idx="147">
                  <c:v>797.94216236075533</c:v>
                </c:pt>
                <c:pt idx="148">
                  <c:v>797.94216236075533</c:v>
                </c:pt>
                <c:pt idx="149">
                  <c:v>797.94216236075533</c:v>
                </c:pt>
                <c:pt idx="150">
                  <c:v>797.94216236075533</c:v>
                </c:pt>
                <c:pt idx="151">
                  <c:v>797.94216236075533</c:v>
                </c:pt>
                <c:pt idx="152">
                  <c:v>797.94216236075533</c:v>
                </c:pt>
                <c:pt idx="153">
                  <c:v>797.94216236075533</c:v>
                </c:pt>
                <c:pt idx="154">
                  <c:v>797.94216236075533</c:v>
                </c:pt>
                <c:pt idx="155">
                  <c:v>797.94216236075533</c:v>
                </c:pt>
                <c:pt idx="156">
                  <c:v>797.94216236075533</c:v>
                </c:pt>
                <c:pt idx="157">
                  <c:v>797.94216236075533</c:v>
                </c:pt>
                <c:pt idx="158">
                  <c:v>797.94216236075533</c:v>
                </c:pt>
                <c:pt idx="159">
                  <c:v>797.94216236075533</c:v>
                </c:pt>
                <c:pt idx="160">
                  <c:v>797.94216236075533</c:v>
                </c:pt>
                <c:pt idx="161">
                  <c:v>797.94216236075533</c:v>
                </c:pt>
                <c:pt idx="162">
                  <c:v>797.94216236075533</c:v>
                </c:pt>
                <c:pt idx="163">
                  <c:v>797.94216236075533</c:v>
                </c:pt>
                <c:pt idx="164">
                  <c:v>797.94216236075533</c:v>
                </c:pt>
                <c:pt idx="165">
                  <c:v>797.94216236075533</c:v>
                </c:pt>
                <c:pt idx="166">
                  <c:v>797.94216236075533</c:v>
                </c:pt>
                <c:pt idx="167">
                  <c:v>797.94216236075533</c:v>
                </c:pt>
                <c:pt idx="168">
                  <c:v>797.94216236075533</c:v>
                </c:pt>
                <c:pt idx="169">
                  <c:v>797.94216236075533</c:v>
                </c:pt>
                <c:pt idx="170">
                  <c:v>797.94216236075533</c:v>
                </c:pt>
                <c:pt idx="171">
                  <c:v>797.94216236075533</c:v>
                </c:pt>
                <c:pt idx="172">
                  <c:v>797.94216236075533</c:v>
                </c:pt>
                <c:pt idx="173">
                  <c:v>797.94216236075533</c:v>
                </c:pt>
                <c:pt idx="174">
                  <c:v>797.94216236075533</c:v>
                </c:pt>
                <c:pt idx="175">
                  <c:v>797.94216236075533</c:v>
                </c:pt>
                <c:pt idx="176">
                  <c:v>797.94216236075533</c:v>
                </c:pt>
                <c:pt idx="177">
                  <c:v>797.94216236075533</c:v>
                </c:pt>
                <c:pt idx="178">
                  <c:v>797.94216236075533</c:v>
                </c:pt>
                <c:pt idx="179">
                  <c:v>797.94216236075533</c:v>
                </c:pt>
                <c:pt idx="180">
                  <c:v>797.94216236075533</c:v>
                </c:pt>
                <c:pt idx="181">
                  <c:v>797.94216236075533</c:v>
                </c:pt>
                <c:pt idx="182">
                  <c:v>797.94216236075533</c:v>
                </c:pt>
                <c:pt idx="183">
                  <c:v>797.94216236075533</c:v>
                </c:pt>
                <c:pt idx="184">
                  <c:v>797.94216236075533</c:v>
                </c:pt>
                <c:pt idx="185">
                  <c:v>797.94216236075533</c:v>
                </c:pt>
                <c:pt idx="186">
                  <c:v>797.94216236075533</c:v>
                </c:pt>
                <c:pt idx="187">
                  <c:v>797.94216236075533</c:v>
                </c:pt>
                <c:pt idx="188">
                  <c:v>797.94216236075533</c:v>
                </c:pt>
                <c:pt idx="189">
                  <c:v>797.94216236075533</c:v>
                </c:pt>
                <c:pt idx="190">
                  <c:v>797.94216236075533</c:v>
                </c:pt>
                <c:pt idx="191">
                  <c:v>797.94216236075533</c:v>
                </c:pt>
                <c:pt idx="192">
                  <c:v>797.94216236075533</c:v>
                </c:pt>
                <c:pt idx="193">
                  <c:v>797.94216236075533</c:v>
                </c:pt>
                <c:pt idx="194">
                  <c:v>797.94216236075533</c:v>
                </c:pt>
                <c:pt idx="195">
                  <c:v>797.94216236075533</c:v>
                </c:pt>
                <c:pt idx="196">
                  <c:v>797.94216236075533</c:v>
                </c:pt>
                <c:pt idx="197">
                  <c:v>797.94216236075533</c:v>
                </c:pt>
                <c:pt idx="198">
                  <c:v>797.94216236075533</c:v>
                </c:pt>
                <c:pt idx="199">
                  <c:v>797.94216236075533</c:v>
                </c:pt>
                <c:pt idx="200">
                  <c:v>797.94216236075533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740.9585963345786</c:v>
                </c:pt>
                <c:pt idx="112">
                  <c:v>751.77245897300418</c:v>
                </c:pt>
                <c:pt idx="113">
                  <c:v>762.58316126167256</c:v>
                </c:pt>
                <c:pt idx="114">
                  <c:v>773.39075429462173</c:v>
                </c:pt>
                <c:pt idx="115">
                  <c:v>784.19528762222524</c:v>
                </c:pt>
                <c:pt idx="116">
                  <c:v>746.36592595312322</c:v>
                </c:pt>
                <c:pt idx="117">
                  <c:v>746.36592595312322</c:v>
                </c:pt>
                <c:pt idx="118">
                  <c:v>746.36592595312322</c:v>
                </c:pt>
                <c:pt idx="119">
                  <c:v>746.36592595312322</c:v>
                </c:pt>
                <c:pt idx="120">
                  <c:v>746.36592595312322</c:v>
                </c:pt>
                <c:pt idx="121">
                  <c:v>746.36592595312322</c:v>
                </c:pt>
                <c:pt idx="122">
                  <c:v>746.36592595312322</c:v>
                </c:pt>
                <c:pt idx="123">
                  <c:v>746.36592595312322</c:v>
                </c:pt>
                <c:pt idx="124">
                  <c:v>746.36592595312322</c:v>
                </c:pt>
                <c:pt idx="125">
                  <c:v>746.36592595312322</c:v>
                </c:pt>
                <c:pt idx="126">
                  <c:v>746.36592595312322</c:v>
                </c:pt>
                <c:pt idx="127">
                  <c:v>746.36592595312322</c:v>
                </c:pt>
                <c:pt idx="128">
                  <c:v>746.36592595312322</c:v>
                </c:pt>
                <c:pt idx="129">
                  <c:v>746.36592595312322</c:v>
                </c:pt>
                <c:pt idx="130">
                  <c:v>746.36592595312322</c:v>
                </c:pt>
                <c:pt idx="131">
                  <c:v>746.36592595312322</c:v>
                </c:pt>
                <c:pt idx="132">
                  <c:v>746.36592595312322</c:v>
                </c:pt>
                <c:pt idx="133">
                  <c:v>746.36592595312322</c:v>
                </c:pt>
                <c:pt idx="134">
                  <c:v>746.36592595312322</c:v>
                </c:pt>
                <c:pt idx="135">
                  <c:v>746.36592595312322</c:v>
                </c:pt>
                <c:pt idx="136">
                  <c:v>746.36592595312322</c:v>
                </c:pt>
                <c:pt idx="137">
                  <c:v>746.36592595312322</c:v>
                </c:pt>
                <c:pt idx="138">
                  <c:v>746.36592595312322</c:v>
                </c:pt>
                <c:pt idx="139">
                  <c:v>746.36592595312322</c:v>
                </c:pt>
                <c:pt idx="140">
                  <c:v>746.36592595312322</c:v>
                </c:pt>
                <c:pt idx="141">
                  <c:v>746.36592595312322</c:v>
                </c:pt>
                <c:pt idx="142">
                  <c:v>746.36592595312322</c:v>
                </c:pt>
                <c:pt idx="143">
                  <c:v>746.36592595312322</c:v>
                </c:pt>
                <c:pt idx="144">
                  <c:v>746.36592595312322</c:v>
                </c:pt>
                <c:pt idx="145">
                  <c:v>746.36592595312322</c:v>
                </c:pt>
                <c:pt idx="146">
                  <c:v>746.36592595312322</c:v>
                </c:pt>
                <c:pt idx="147">
                  <c:v>746.36592595312322</c:v>
                </c:pt>
                <c:pt idx="148">
                  <c:v>746.36592595312322</c:v>
                </c:pt>
                <c:pt idx="149">
                  <c:v>746.36592595312322</c:v>
                </c:pt>
                <c:pt idx="150">
                  <c:v>746.36592595312322</c:v>
                </c:pt>
                <c:pt idx="151">
                  <c:v>746.36592595312322</c:v>
                </c:pt>
                <c:pt idx="152">
                  <c:v>746.36592595312322</c:v>
                </c:pt>
                <c:pt idx="153">
                  <c:v>746.36592595312322</c:v>
                </c:pt>
                <c:pt idx="154">
                  <c:v>746.36592595312322</c:v>
                </c:pt>
                <c:pt idx="155">
                  <c:v>746.36592595312322</c:v>
                </c:pt>
                <c:pt idx="156">
                  <c:v>746.36592595312322</c:v>
                </c:pt>
                <c:pt idx="157">
                  <c:v>746.36592595312322</c:v>
                </c:pt>
                <c:pt idx="158">
                  <c:v>746.36592595312322</c:v>
                </c:pt>
                <c:pt idx="159">
                  <c:v>746.36592595312322</c:v>
                </c:pt>
                <c:pt idx="160">
                  <c:v>746.36592595312322</c:v>
                </c:pt>
                <c:pt idx="161">
                  <c:v>746.36592595312322</c:v>
                </c:pt>
                <c:pt idx="162">
                  <c:v>746.36592595312322</c:v>
                </c:pt>
                <c:pt idx="163">
                  <c:v>746.36592595312322</c:v>
                </c:pt>
                <c:pt idx="164">
                  <c:v>746.36592595312322</c:v>
                </c:pt>
                <c:pt idx="165">
                  <c:v>746.36592595312322</c:v>
                </c:pt>
                <c:pt idx="166">
                  <c:v>746.36592595312322</c:v>
                </c:pt>
                <c:pt idx="167">
                  <c:v>746.36592595312322</c:v>
                </c:pt>
                <c:pt idx="168">
                  <c:v>746.36592595312322</c:v>
                </c:pt>
                <c:pt idx="169">
                  <c:v>746.36592595312322</c:v>
                </c:pt>
                <c:pt idx="170">
                  <c:v>746.36592595312322</c:v>
                </c:pt>
                <c:pt idx="171">
                  <c:v>746.36592595312322</c:v>
                </c:pt>
                <c:pt idx="172">
                  <c:v>746.36592595312322</c:v>
                </c:pt>
                <c:pt idx="173">
                  <c:v>746.36592595312322</c:v>
                </c:pt>
                <c:pt idx="174">
                  <c:v>746.36592595312322</c:v>
                </c:pt>
                <c:pt idx="175">
                  <c:v>746.36592595312322</c:v>
                </c:pt>
                <c:pt idx="176">
                  <c:v>746.36592595312322</c:v>
                </c:pt>
                <c:pt idx="177">
                  <c:v>746.36592595312322</c:v>
                </c:pt>
                <c:pt idx="178">
                  <c:v>746.36592595312322</c:v>
                </c:pt>
                <c:pt idx="179">
                  <c:v>746.36592595312322</c:v>
                </c:pt>
                <c:pt idx="180">
                  <c:v>746.36592595312322</c:v>
                </c:pt>
                <c:pt idx="181">
                  <c:v>746.36592595312322</c:v>
                </c:pt>
                <c:pt idx="182">
                  <c:v>746.36592595312322</c:v>
                </c:pt>
                <c:pt idx="183">
                  <c:v>746.36592595312322</c:v>
                </c:pt>
                <c:pt idx="184">
                  <c:v>746.36592595312322</c:v>
                </c:pt>
                <c:pt idx="185">
                  <c:v>746.36592595312322</c:v>
                </c:pt>
                <c:pt idx="186">
                  <c:v>746.36592595312322</c:v>
                </c:pt>
                <c:pt idx="187">
                  <c:v>746.36592595312322</c:v>
                </c:pt>
                <c:pt idx="188">
                  <c:v>746.36592595312322</c:v>
                </c:pt>
                <c:pt idx="189">
                  <c:v>746.36592595312322</c:v>
                </c:pt>
                <c:pt idx="190">
                  <c:v>746.36592595312322</c:v>
                </c:pt>
                <c:pt idx="191">
                  <c:v>746.36592595312322</c:v>
                </c:pt>
                <c:pt idx="192">
                  <c:v>746.36592595312322</c:v>
                </c:pt>
                <c:pt idx="193">
                  <c:v>746.36592595312322</c:v>
                </c:pt>
                <c:pt idx="194">
                  <c:v>746.36592595312322</c:v>
                </c:pt>
                <c:pt idx="195">
                  <c:v>746.36592595312322</c:v>
                </c:pt>
                <c:pt idx="196">
                  <c:v>746.36592595312322</c:v>
                </c:pt>
                <c:pt idx="197">
                  <c:v>746.36592595312322</c:v>
                </c:pt>
                <c:pt idx="198">
                  <c:v>746.36592595312322</c:v>
                </c:pt>
                <c:pt idx="199">
                  <c:v>746.36592595312322</c:v>
                </c:pt>
                <c:pt idx="200">
                  <c:v>746.36592595312322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4" zoomScaleNormal="100" workbookViewId="0">
      <selection activeCell="B93" sqref="B9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1.0940000000000001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164</v>
      </c>
      <c r="C9" s="264">
        <v>0.39393939389999999</v>
      </c>
      <c r="D9" s="33">
        <f t="shared" ref="D9:D18" si="0">C9*$C$5</f>
        <v>0.43096969692660003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</v>
      </c>
      <c r="C10" s="264">
        <v>0.30303029999999997</v>
      </c>
      <c r="D10" s="33">
        <f t="shared" si="0"/>
        <v>0.3315151482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25</v>
      </c>
      <c r="C11" s="264">
        <v>0.30303029999999997</v>
      </c>
      <c r="D11" s="33">
        <f t="shared" si="0"/>
        <v>0.3315151482</v>
      </c>
      <c r="E11" s="265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0.99999999389999994</v>
      </c>
      <c r="D19" s="38">
        <f>SUM(D9:D18)</f>
        <v>1.0939999933266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62</v>
      </c>
      <c r="C36" s="259"/>
      <c r="D36" s="259"/>
      <c r="E36" s="260"/>
      <c r="F36" s="260"/>
      <c r="G36" s="260"/>
      <c r="H36" s="260"/>
      <c r="I36" s="49">
        <f>IFERROR(B36/A36,"")</f>
        <v>4.1333333333333337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164</v>
      </c>
      <c r="C37" s="259">
        <v>1</v>
      </c>
      <c r="D37" s="259">
        <v>26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20.399999999999999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270</v>
      </c>
      <c r="C38" s="259">
        <v>2</v>
      </c>
      <c r="D38" s="259">
        <v>70</v>
      </c>
      <c r="E38" s="260"/>
      <c r="F38" s="260">
        <v>1</v>
      </c>
      <c r="G38" s="260"/>
      <c r="H38" s="260"/>
      <c r="I38" s="53">
        <f t="shared" si="1"/>
        <v>26.4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343</v>
      </c>
      <c r="C39" s="259">
        <v>3</v>
      </c>
      <c r="D39" s="259">
        <v>70</v>
      </c>
      <c r="E39" s="260"/>
      <c r="F39" s="260">
        <v>1</v>
      </c>
      <c r="G39" s="260"/>
      <c r="H39" s="260"/>
      <c r="I39" s="49">
        <f t="shared" si="1"/>
        <v>28.6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418</v>
      </c>
      <c r="C40" s="259">
        <v>4</v>
      </c>
      <c r="D40" s="259">
        <v>70</v>
      </c>
      <c r="E40" s="260">
        <v>1</v>
      </c>
      <c r="F40" s="260"/>
      <c r="G40" s="260"/>
      <c r="H40" s="260"/>
      <c r="I40" s="49">
        <f t="shared" si="1"/>
        <v>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487</v>
      </c>
      <c r="C41" s="259">
        <v>5</v>
      </c>
      <c r="D41" s="259">
        <v>70</v>
      </c>
      <c r="E41" s="260">
        <v>1</v>
      </c>
      <c r="F41" s="260"/>
      <c r="G41" s="260"/>
      <c r="H41" s="260"/>
      <c r="I41" s="53">
        <f t="shared" si="1"/>
        <v>27.8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548</v>
      </c>
      <c r="C42" s="259">
        <v>6</v>
      </c>
      <c r="D42" s="259">
        <v>70</v>
      </c>
      <c r="E42" s="260">
        <v>1</v>
      </c>
      <c r="F42" s="260"/>
      <c r="G42" s="260"/>
      <c r="H42" s="260"/>
      <c r="I42" s="53">
        <f t="shared" si="1"/>
        <v>26.2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601</v>
      </c>
      <c r="C43" s="259">
        <v>7</v>
      </c>
      <c r="D43" s="259">
        <v>70</v>
      </c>
      <c r="E43" s="260">
        <v>1</v>
      </c>
      <c r="F43" s="260"/>
      <c r="G43" s="260"/>
      <c r="H43" s="260"/>
      <c r="I43" s="49">
        <f t="shared" si="1"/>
        <v>24.6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646</v>
      </c>
      <c r="C44" s="259">
        <v>8</v>
      </c>
      <c r="D44" s="259">
        <v>63</v>
      </c>
      <c r="E44" s="260">
        <v>1</v>
      </c>
      <c r="F44" s="260"/>
      <c r="G44" s="260"/>
      <c r="H44" s="260"/>
      <c r="I44" s="49">
        <f t="shared" si="1"/>
        <v>23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690</v>
      </c>
      <c r="C45" s="259">
        <v>9</v>
      </c>
      <c r="D45" s="261">
        <v>56</v>
      </c>
      <c r="E45" s="260">
        <v>1</v>
      </c>
      <c r="F45" s="260"/>
      <c r="G45" s="260"/>
      <c r="H45" s="260"/>
      <c r="I45" s="49">
        <f t="shared" si="1"/>
        <v>21.4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734</v>
      </c>
      <c r="C46" s="259">
        <v>10</v>
      </c>
      <c r="D46" s="262">
        <v>52</v>
      </c>
      <c r="E46" s="260">
        <v>1</v>
      </c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773</v>
      </c>
      <c r="C47" s="259">
        <v>11</v>
      </c>
      <c r="D47" s="261">
        <v>49</v>
      </c>
      <c r="E47" s="260">
        <v>1</v>
      </c>
      <c r="F47" s="260"/>
      <c r="G47" s="260"/>
      <c r="H47" s="260"/>
      <c r="I47" s="49">
        <f t="shared" si="1"/>
        <v>18.2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809</v>
      </c>
      <c r="C48" s="259">
        <v>12</v>
      </c>
      <c r="D48" s="261">
        <v>47</v>
      </c>
      <c r="E48" s="260">
        <v>1</v>
      </c>
      <c r="F48" s="260"/>
      <c r="G48" s="260"/>
      <c r="H48" s="260"/>
      <c r="I48" s="49">
        <f t="shared" si="1"/>
        <v>17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840</v>
      </c>
      <c r="C49" s="259">
        <v>13</v>
      </c>
      <c r="D49" s="261">
        <v>45</v>
      </c>
      <c r="E49" s="260">
        <v>1</v>
      </c>
      <c r="F49" s="260"/>
      <c r="G49" s="260"/>
      <c r="H49" s="260"/>
      <c r="I49" s="49">
        <f t="shared" si="1"/>
        <v>15.6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103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121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147</v>
      </c>
      <c r="C65" s="60">
        <v>4</v>
      </c>
      <c r="D65" s="60">
        <v>28</v>
      </c>
      <c r="E65" s="51">
        <v>1</v>
      </c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175</v>
      </c>
      <c r="C66" s="60">
        <v>5</v>
      </c>
      <c r="D66" s="60">
        <v>28</v>
      </c>
      <c r="E66" s="51">
        <v>1</v>
      </c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204</v>
      </c>
      <c r="C67" s="60">
        <v>6</v>
      </c>
      <c r="D67" s="60">
        <v>28</v>
      </c>
      <c r="E67" s="51">
        <v>1</v>
      </c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231</v>
      </c>
      <c r="C68" s="60">
        <v>7</v>
      </c>
      <c r="D68" s="60">
        <v>28</v>
      </c>
      <c r="E68" s="51">
        <v>1</v>
      </c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60">
        <v>254</v>
      </c>
      <c r="C69" s="60">
        <v>8</v>
      </c>
      <c r="D69" s="60">
        <v>28</v>
      </c>
      <c r="E69" s="51">
        <v>1</v>
      </c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60">
        <v>273</v>
      </c>
      <c r="C70" s="60">
        <v>9</v>
      </c>
      <c r="D70" s="60">
        <v>28</v>
      </c>
      <c r="E70" s="51">
        <v>1</v>
      </c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60">
        <v>289</v>
      </c>
      <c r="C71" s="60">
        <v>10</v>
      </c>
      <c r="D71" s="60">
        <v>28</v>
      </c>
      <c r="E71" s="51">
        <v>1</v>
      </c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60">
        <v>302</v>
      </c>
      <c r="C72" s="60">
        <v>11</v>
      </c>
      <c r="D72" s="60">
        <v>28</v>
      </c>
      <c r="E72" s="51">
        <v>1</v>
      </c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60">
        <v>312</v>
      </c>
      <c r="C73" s="60">
        <v>12</v>
      </c>
      <c r="D73" s="60">
        <v>28</v>
      </c>
      <c r="E73" s="51">
        <v>1</v>
      </c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60">
        <v>320</v>
      </c>
      <c r="C74" s="60">
        <v>13</v>
      </c>
      <c r="D74" s="60">
        <v>28</v>
      </c>
      <c r="E74" s="51">
        <v>1</v>
      </c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85</v>
      </c>
      <c r="B75" s="60">
        <v>326</v>
      </c>
      <c r="C75" s="60">
        <v>14</v>
      </c>
      <c r="D75" s="60">
        <v>28</v>
      </c>
      <c r="E75" s="51">
        <v>1</v>
      </c>
      <c r="F75" s="51"/>
      <c r="G75" s="51"/>
      <c r="H75" s="51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330</v>
      </c>
      <c r="C76" s="60">
        <v>15</v>
      </c>
      <c r="D76" s="60">
        <v>28</v>
      </c>
      <c r="E76" s="51">
        <v>1</v>
      </c>
      <c r="F76" s="51"/>
      <c r="G76" s="51"/>
      <c r="H76" s="51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333</v>
      </c>
      <c r="C77" s="60">
        <v>16</v>
      </c>
      <c r="D77" s="60">
        <v>28</v>
      </c>
      <c r="E77" s="51">
        <v>1</v>
      </c>
      <c r="F77" s="51"/>
      <c r="G77" s="51"/>
      <c r="H77" s="51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333</v>
      </c>
      <c r="C78" s="60">
        <v>17</v>
      </c>
      <c r="D78" s="60">
        <v>27</v>
      </c>
      <c r="E78" s="51">
        <v>1</v>
      </c>
      <c r="F78" s="51"/>
      <c r="G78" s="51"/>
      <c r="H78" s="51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105</v>
      </c>
      <c r="B79" s="50">
        <v>333</v>
      </c>
      <c r="C79" s="60">
        <v>18</v>
      </c>
      <c r="D79" s="60">
        <v>26</v>
      </c>
      <c r="E79" s="51">
        <v>1</v>
      </c>
      <c r="F79" s="51"/>
      <c r="G79" s="51"/>
      <c r="H79" s="51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110</v>
      </c>
      <c r="B80" s="50">
        <v>332</v>
      </c>
      <c r="C80" s="60">
        <v>19</v>
      </c>
      <c r="D80" s="60">
        <v>25</v>
      </c>
      <c r="E80" s="51">
        <v>1</v>
      </c>
      <c r="F80" s="51"/>
      <c r="G80" s="51"/>
      <c r="H80" s="51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115</v>
      </c>
      <c r="B81" s="50">
        <v>331</v>
      </c>
      <c r="C81" s="60">
        <v>20</v>
      </c>
      <c r="D81" s="60">
        <v>24</v>
      </c>
      <c r="E81" s="51">
        <v>1</v>
      </c>
      <c r="F81" s="51"/>
      <c r="G81" s="51"/>
      <c r="H81" s="51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20</v>
      </c>
      <c r="B88" s="261">
        <v>32</v>
      </c>
      <c r="C88" s="261"/>
      <c r="D88" s="261">
        <v>0</v>
      </c>
      <c r="E88" s="260"/>
      <c r="F88" s="260"/>
      <c r="G88" s="260"/>
      <c r="H88" s="260"/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25</v>
      </c>
      <c r="B89" s="261">
        <v>76</v>
      </c>
      <c r="C89" s="261">
        <v>1</v>
      </c>
      <c r="D89" s="261">
        <v>7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30</v>
      </c>
      <c r="B90" s="261">
        <v>116</v>
      </c>
      <c r="C90" s="261">
        <v>2</v>
      </c>
      <c r="D90" s="261">
        <v>28</v>
      </c>
      <c r="E90" s="260"/>
      <c r="F90" s="260"/>
      <c r="G90" s="260"/>
      <c r="H90" s="260">
        <v>1</v>
      </c>
      <c r="I90" s="53">
        <f t="shared" si="3"/>
        <v>9.4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35</v>
      </c>
      <c r="B91" s="261">
        <v>139</v>
      </c>
      <c r="C91" s="261">
        <v>3</v>
      </c>
      <c r="D91" s="261">
        <v>28</v>
      </c>
      <c r="E91" s="260">
        <v>1</v>
      </c>
      <c r="F91" s="260"/>
      <c r="G91" s="260"/>
      <c r="H91" s="260"/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40</v>
      </c>
      <c r="B92" s="261">
        <v>163</v>
      </c>
      <c r="C92" s="261">
        <v>4</v>
      </c>
      <c r="D92" s="261">
        <v>28</v>
      </c>
      <c r="E92" s="260">
        <v>1</v>
      </c>
      <c r="F92" s="260"/>
      <c r="G92" s="260"/>
      <c r="H92" s="260"/>
      <c r="I92" s="53">
        <f t="shared" si="3"/>
        <v>10.4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45</v>
      </c>
      <c r="B93" s="261">
        <v>190</v>
      </c>
      <c r="C93" s="261">
        <v>5</v>
      </c>
      <c r="D93" s="261">
        <v>28</v>
      </c>
      <c r="E93" s="260">
        <v>1</v>
      </c>
      <c r="F93" s="260"/>
      <c r="G93" s="260"/>
      <c r="H93" s="260"/>
      <c r="I93" s="53">
        <f t="shared" si="3"/>
        <v>11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50</v>
      </c>
      <c r="B94" s="261">
        <v>217</v>
      </c>
      <c r="C94" s="261">
        <v>6</v>
      </c>
      <c r="D94" s="261">
        <v>28</v>
      </c>
      <c r="E94" s="260">
        <v>1</v>
      </c>
      <c r="F94" s="260"/>
      <c r="G94" s="260"/>
      <c r="H94" s="260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55</v>
      </c>
      <c r="B95" s="261">
        <v>244</v>
      </c>
      <c r="C95" s="261">
        <v>7</v>
      </c>
      <c r="D95" s="261">
        <v>28</v>
      </c>
      <c r="E95" s="260">
        <v>1</v>
      </c>
      <c r="F95" s="260"/>
      <c r="G95" s="260"/>
      <c r="H95" s="260"/>
      <c r="I95" s="53">
        <f t="shared" si="3"/>
        <v>11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60</v>
      </c>
      <c r="B96" s="261">
        <v>270</v>
      </c>
      <c r="C96" s="261">
        <v>8</v>
      </c>
      <c r="D96" s="261">
        <v>28</v>
      </c>
      <c r="E96" s="260">
        <v>1</v>
      </c>
      <c r="F96" s="260"/>
      <c r="G96" s="260"/>
      <c r="H96" s="260"/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65</v>
      </c>
      <c r="B97" s="261">
        <v>294</v>
      </c>
      <c r="C97" s="261">
        <v>9</v>
      </c>
      <c r="D97" s="261">
        <v>28</v>
      </c>
      <c r="E97" s="260">
        <v>1</v>
      </c>
      <c r="F97" s="260"/>
      <c r="G97" s="260"/>
      <c r="H97" s="260"/>
      <c r="I97" s="53">
        <f t="shared" si="3"/>
        <v>10.4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70</v>
      </c>
      <c r="B98" s="261">
        <v>316</v>
      </c>
      <c r="C98" s="261">
        <v>10</v>
      </c>
      <c r="D98" s="261">
        <v>28</v>
      </c>
      <c r="E98" s="260">
        <v>1</v>
      </c>
      <c r="F98" s="260"/>
      <c r="G98" s="260"/>
      <c r="H98" s="260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75</v>
      </c>
      <c r="B99" s="261">
        <v>335</v>
      </c>
      <c r="C99" s="261">
        <v>11</v>
      </c>
      <c r="D99" s="261">
        <v>28</v>
      </c>
      <c r="E99" s="260">
        <v>1</v>
      </c>
      <c r="F99" s="260"/>
      <c r="G99" s="260"/>
      <c r="H99" s="260"/>
      <c r="I99" s="53">
        <f t="shared" si="3"/>
        <v>9.4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80</v>
      </c>
      <c r="B100" s="261">
        <v>351</v>
      </c>
      <c r="C100" s="261">
        <v>12</v>
      </c>
      <c r="D100" s="261">
        <v>28</v>
      </c>
      <c r="E100" s="260">
        <v>1</v>
      </c>
      <c r="F100" s="260"/>
      <c r="G100" s="260"/>
      <c r="H100" s="260"/>
      <c r="I100" s="53">
        <f t="shared" si="3"/>
        <v>8.8000000000000007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85</v>
      </c>
      <c r="B101" s="261">
        <v>365</v>
      </c>
      <c r="C101" s="261">
        <v>13</v>
      </c>
      <c r="D101" s="261">
        <v>27</v>
      </c>
      <c r="E101" s="260">
        <v>1</v>
      </c>
      <c r="F101" s="260"/>
      <c r="G101" s="260"/>
      <c r="H101" s="260"/>
      <c r="I101" s="53">
        <f t="shared" si="3"/>
        <v>8.4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90</v>
      </c>
      <c r="B102" s="261">
        <v>377</v>
      </c>
      <c r="C102" s="261">
        <v>14</v>
      </c>
      <c r="D102" s="261">
        <v>26</v>
      </c>
      <c r="E102" s="260">
        <v>1</v>
      </c>
      <c r="F102" s="260"/>
      <c r="G102" s="260"/>
      <c r="H102" s="260"/>
      <c r="I102" s="53">
        <f t="shared" si="3"/>
        <v>7.8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95</v>
      </c>
      <c r="B103" s="257">
        <v>389</v>
      </c>
      <c r="C103" s="256">
        <v>15</v>
      </c>
      <c r="D103" s="256">
        <v>25</v>
      </c>
      <c r="E103" s="255">
        <v>1</v>
      </c>
      <c r="F103" s="255"/>
      <c r="G103" s="255"/>
      <c r="H103" s="255"/>
      <c r="I103" s="53">
        <f t="shared" si="3"/>
        <v>7.6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100</v>
      </c>
      <c r="B104" s="257">
        <v>400</v>
      </c>
      <c r="C104" s="256">
        <v>16</v>
      </c>
      <c r="D104" s="256">
        <v>24</v>
      </c>
      <c r="E104" s="255">
        <v>1</v>
      </c>
      <c r="F104" s="255"/>
      <c r="G104" s="255"/>
      <c r="H104" s="255"/>
      <c r="I104" s="53">
        <f t="shared" si="3"/>
        <v>7.2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105</v>
      </c>
      <c r="B105" s="257">
        <v>409</v>
      </c>
      <c r="C105" s="256">
        <v>17</v>
      </c>
      <c r="D105" s="256">
        <v>23</v>
      </c>
      <c r="E105" s="255">
        <v>1</v>
      </c>
      <c r="F105" s="255"/>
      <c r="G105" s="255"/>
      <c r="H105" s="255"/>
      <c r="I105" s="53">
        <f t="shared" si="3"/>
        <v>6.6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110</v>
      </c>
      <c r="B106" s="257">
        <v>418</v>
      </c>
      <c r="C106" s="256">
        <v>18</v>
      </c>
      <c r="D106" s="256">
        <v>22</v>
      </c>
      <c r="E106" s="255">
        <v>1</v>
      </c>
      <c r="F106" s="255"/>
      <c r="G106" s="255"/>
      <c r="H106" s="255"/>
      <c r="I106" s="53">
        <f t="shared" si="3"/>
        <v>6.4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>
        <v>115</v>
      </c>
      <c r="B107" s="257">
        <v>426</v>
      </c>
      <c r="C107" s="256">
        <v>19</v>
      </c>
      <c r="D107" s="258">
        <v>21</v>
      </c>
      <c r="E107" s="255">
        <v>1</v>
      </c>
      <c r="F107" s="255"/>
      <c r="G107" s="255"/>
      <c r="H107" s="255"/>
      <c r="I107" s="53">
        <f t="shared" si="3"/>
        <v>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9" sqref="C2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Cèdre de l'Atlas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Hêtre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379.12827535040157</v>
      </c>
      <c r="T3" s="59">
        <f>IF('Données projet'!E9&gt;30,$R$33-$H$33,LOOKUP('Données projet'!$E$9,$A$3:$A$203,R3:R203)-LOOKUP('Données projet'!$E$9,$A$3:$A$203,$H$3:$H$203))</f>
        <v>317.29813413796956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392.48436003609055</v>
      </c>
      <c r="AO3" s="59">
        <f>IF('Données projet'!E10&gt;30,$AM$33-$H$33,LOOKUP('Données projet'!$E$10,$A$3:$A$203,AM3:AM203)-LOOKUP('Données projet'!$E$10,$A$3:$A$203,$H$3:$H$203))</f>
        <v>236.3312446580419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352.61091660077574</v>
      </c>
      <c r="BJ3" s="59">
        <f>IF('Données projet'!E11&gt;30,$BH$33-$H$33,LOOKUP('Données projet'!$E$11,$A$3:$A$203,BH3:BH203)-LOOKUP('Données projet'!$E$11,$A$3:$A$203,$H$3:$H$203))</f>
        <v>186.48649111821521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4.1333333333333337</v>
      </c>
      <c r="N4" s="13">
        <f>IF('Données projet'!$A$36&gt;35,N3+M4-V3,IF(A4&lt;'Données projet'!$A$36,$K$205^A4,IF(A4='Données projet'!$A$36,'Données projet'!$B$36,N3+M4-V3)))</f>
        <v>1.3167180204218134</v>
      </c>
      <c r="O4" s="13">
        <f>N4*VLOOKUP('Données projet'!$B$9,Paramètres!$A$1:$I$89,3,0)*VLOOKUP('Données projet'!$B$9,Paramètres!$A$1:$I$89,5,0)</f>
        <v>0.61622403355740862</v>
      </c>
      <c r="P4" s="13">
        <f>EXP(-1.0587+0.8836*LN(O4)+0.284)</f>
        <v>0.3004450965382191</v>
      </c>
      <c r="Q4" s="20">
        <f t="shared" ref="Q4:Q34" si="2">(O4+P4)*0.475*44/12</f>
        <v>1.5965320682498849</v>
      </c>
      <c r="R4" s="59">
        <f t="shared" si="0"/>
        <v>294.92986540158319</v>
      </c>
      <c r="S4" s="59">
        <f ca="1">AVERAGE(OFFSET($R$3,0,0,'Données projet'!$E$9+1,1))-AVERAGE(OFFSET($H$3,0,0,'Données projet'!$E$9+1,1))</f>
        <v>379.12827535040157</v>
      </c>
      <c r="T4" s="59">
        <f>$T$3</f>
        <v>317.29813413796956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296.5040881679875</v>
      </c>
      <c r="AN4" s="59">
        <f ca="1">AVERAGE(OFFSET($AM$3,0,0,'Données projet'!$E$10+1,1))-AVERAGE(OFFSET($H$3,0,0,'Données projet'!$E$10+1,1))</f>
        <v>392.48436003609055</v>
      </c>
      <c r="AO4" s="59">
        <f>$AO$3</f>
        <v>236.3312446580419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1.0203397046723348</v>
      </c>
      <c r="BF4" s="13">
        <f>EXP(-1.0587+0.8836*LN(BE4)+0.284)</f>
        <v>0.46911460970544039</v>
      </c>
      <c r="BG4" s="20">
        <f t="shared" ref="BG4:BG67" si="7">(BE4+BF4)*0.475*44/12</f>
        <v>2.594132930874625</v>
      </c>
      <c r="BH4" s="59">
        <f t="shared" ref="BH4:BH67" si="8">BG4+(AY4+AZ4)*44/12</f>
        <v>295.92746626420796</v>
      </c>
      <c r="BI4" s="59">
        <f ca="1">AVERAGE(OFFSET($BH$3,0,0,'Données projet'!$E$11+1,1))-AVERAGE(OFFSET($H$3,0,0,'Données projet'!$E$11+1,1))</f>
        <v>352.61091660077574</v>
      </c>
      <c r="BJ4" s="59">
        <f>$BJ$3</f>
        <v>186.48649111821521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4.1333333333333337</v>
      </c>
      <c r="N5" s="13">
        <f>IF('Données projet'!$A$36&gt;35,N4+M5-V4,IF(A5&lt;'Données projet'!$A$36,$K$205^A5,IF(A5='Données projet'!$A$36,'Données projet'!$B$36,N4+M5-V4)))</f>
        <v>1.7337463453035391</v>
      </c>
      <c r="O5" s="13">
        <f>N5*VLOOKUP('Données projet'!$B$9,Paramètres!$A$1:$I$89,3,0)*VLOOKUP('Données projet'!$B$9,Paramètres!$A$1:$I$89,5,0)</f>
        <v>0.81139328960205626</v>
      </c>
      <c r="P5" s="13">
        <f t="shared" ref="P5:P68" si="33">EXP(-1.0587+0.8836*LN(O5)+0.284)</f>
        <v>0.38313245303095356</v>
      </c>
      <c r="Q5" s="20">
        <f t="shared" si="2"/>
        <v>2.0804656684191585</v>
      </c>
      <c r="R5" s="59">
        <f t="shared" si="0"/>
        <v>295.41379900175247</v>
      </c>
      <c r="S5" s="59">
        <f ca="1">AVERAGE(OFFSET($R$3,0,0,'Données projet'!$E$9+1,1))-AVERAGE(OFFSET($H$3,0,0,'Données projet'!$E$9+1,1))</f>
        <v>379.12827535040157</v>
      </c>
      <c r="T5" s="59">
        <f t="shared" ref="T5:T68" si="34">$T$3</f>
        <v>317.29813413796956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297.2327403402669</v>
      </c>
      <c r="AN5" s="59">
        <f ca="1">AVERAGE(OFFSET($AM$3,0,0,'Données projet'!$E$10+1,1))-AVERAGE(OFFSET($H$3,0,0,'Données projet'!$E$10+1,1))</f>
        <v>392.48436003609055</v>
      </c>
      <c r="AO5" s="59">
        <f t="shared" ref="AO5:AO68" si="36">$AO$3</f>
        <v>236.3312446580419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1.2133952365161156</v>
      </c>
      <c r="BF5" s="13">
        <f t="shared" ref="BF5:BF68" si="37">EXP(-1.0587+0.8836*LN(BE5)+0.284)</f>
        <v>0.54673450619692521</v>
      </c>
      <c r="BG5" s="20">
        <f t="shared" si="7"/>
        <v>3.0655593018918794</v>
      </c>
      <c r="BH5" s="59">
        <f t="shared" si="8"/>
        <v>296.3988926352252</v>
      </c>
      <c r="BI5" s="59">
        <f ca="1">AVERAGE(OFFSET($BH$3,0,0,'Données projet'!$E$11+1,1))-AVERAGE(OFFSET($H$3,0,0,'Données projet'!$E$11+1,1))</f>
        <v>352.61091660077574</v>
      </c>
      <c r="BJ5" s="59">
        <f t="shared" ref="BJ5:BJ68" si="38">$BJ$3</f>
        <v>186.48649111821521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4.1333333333333337</v>
      </c>
      <c r="N6" s="13">
        <f>IF('Données projet'!$A$36&gt;35,N5+M6-V5,IF(A6&lt;'Données projet'!$A$36,$K$205^A6,IF(A6='Données projet'!$A$36,'Données projet'!$B$36,N5+M6-V5)))</f>
        <v>2.2828550557016296</v>
      </c>
      <c r="O6" s="13">
        <f>N6*VLOOKUP('Données projet'!$B$9,Paramètres!$A$1:$I$89,3,0)*VLOOKUP('Données projet'!$B$9,Paramètres!$A$1:$I$89,5,0)</f>
        <v>1.0683761660683626</v>
      </c>
      <c r="P6" s="13">
        <f t="shared" si="33"/>
        <v>0.48857670921197038</v>
      </c>
      <c r="Q6" s="20">
        <f t="shared" si="2"/>
        <v>2.7116929244465795</v>
      </c>
      <c r="R6" s="59">
        <f t="shared" si="0"/>
        <v>296.04502625777991</v>
      </c>
      <c r="S6" s="59">
        <f ca="1">AVERAGE(OFFSET($R$3,0,0,'Données projet'!$E$9+1,1))-AVERAGE(OFFSET($H$3,0,0,'Données projet'!$E$9+1,1))</f>
        <v>379.12827535040157</v>
      </c>
      <c r="T6" s="59">
        <f t="shared" si="34"/>
        <v>317.29813413796956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298.12947290764731</v>
      </c>
      <c r="AN6" s="59">
        <f ca="1">AVERAGE(OFFSET($AM$3,0,0,'Données projet'!$E$10+1,1))-AVERAGE(OFFSET($H$3,0,0,'Données projet'!$E$10+1,1))</f>
        <v>392.48436003609055</v>
      </c>
      <c r="AO6" s="59">
        <f t="shared" si="36"/>
        <v>236.3312446580419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1.4429782485753739</v>
      </c>
      <c r="BF6" s="13">
        <f t="shared" si="37"/>
        <v>0.6371974227238163</v>
      </c>
      <c r="BG6" s="20">
        <f t="shared" si="7"/>
        <v>3.6229726275127558</v>
      </c>
      <c r="BH6" s="59">
        <f t="shared" si="8"/>
        <v>296.95630596084607</v>
      </c>
      <c r="BI6" s="59">
        <f ca="1">AVERAGE(OFFSET($BH$3,0,0,'Données projet'!$E$11+1,1))-AVERAGE(OFFSET($H$3,0,0,'Données projet'!$E$11+1,1))</f>
        <v>352.61091660077574</v>
      </c>
      <c r="BJ6" s="59">
        <f t="shared" si="38"/>
        <v>186.48649111821521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4.1333333333333337</v>
      </c>
      <c r="N7" s="13">
        <f>IF('Données projet'!$A$36&gt;35,N6+M7-V6,IF(A7&lt;'Données projet'!$A$36,$K$205^A7,IF(A7='Données projet'!$A$36,'Données projet'!$B$36,N6+M7-V6)))</f>
        <v>3.0058763898533787</v>
      </c>
      <c r="O7" s="13">
        <f>N7*VLOOKUP('Données projet'!$B$9,Paramètres!$A$1:$I$89,3,0)*VLOOKUP('Données projet'!$B$9,Paramètres!$A$1:$I$89,5,0)</f>
        <v>1.4067501504513813</v>
      </c>
      <c r="P7" s="13">
        <f t="shared" si="33"/>
        <v>0.62304093243991765</v>
      </c>
      <c r="Q7" s="20">
        <f t="shared" si="2"/>
        <v>3.5352194693690122</v>
      </c>
      <c r="R7" s="59">
        <f t="shared" si="0"/>
        <v>296.86855280270231</v>
      </c>
      <c r="S7" s="59">
        <f ca="1">AVERAGE(OFFSET($R$3,0,0,'Données projet'!$E$9+1,1))-AVERAGE(OFFSET($H$3,0,0,'Données projet'!$E$9+1,1))</f>
        <v>379.12827535040157</v>
      </c>
      <c r="T7" s="59">
        <f t="shared" si="34"/>
        <v>317.29813413796956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299.23319508130498</v>
      </c>
      <c r="AN7" s="59">
        <f ca="1">AVERAGE(OFFSET($AM$3,0,0,'Données projet'!$E$10+1,1))-AVERAGE(OFFSET($H$3,0,0,'Données projet'!$E$10+1,1))</f>
        <v>392.48436003609055</v>
      </c>
      <c r="AO7" s="59">
        <f t="shared" si="36"/>
        <v>236.3312446580419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1.7159999999999997</v>
      </c>
      <c r="BF7" s="13">
        <f t="shared" si="37"/>
        <v>0.74262837066960552</v>
      </c>
      <c r="BG7" s="20">
        <f t="shared" si="7"/>
        <v>4.2821110789162296</v>
      </c>
      <c r="BH7" s="59">
        <f t="shared" si="8"/>
        <v>297.61544441224953</v>
      </c>
      <c r="BI7" s="59">
        <f ca="1">AVERAGE(OFFSET($BH$3,0,0,'Données projet'!$E$11+1,1))-AVERAGE(OFFSET($H$3,0,0,'Données projet'!$E$11+1,1))</f>
        <v>352.61091660077574</v>
      </c>
      <c r="BJ7" s="59">
        <f t="shared" si="38"/>
        <v>186.48649111821521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4.1333333333333337</v>
      </c>
      <c r="N8" s="13">
        <f>IF('Données projet'!$A$36&gt;35,N7+M8-V7,IF(A8&lt;'Données projet'!$A$36,$K$205^A8,IF(A8='Données projet'!$A$36,'Données projet'!$B$36,N7+M8-V7)))</f>
        <v>3.957891609680408</v>
      </c>
      <c r="O8" s="13">
        <f>N8*VLOOKUP('Données projet'!$B$9,Paramètres!$A$1:$I$89,3,0)*VLOOKUP('Données projet'!$B$9,Paramètres!$A$1:$I$89,5,0)</f>
        <v>1.8522932733304309</v>
      </c>
      <c r="P8" s="13">
        <f t="shared" si="33"/>
        <v>0.79451188764544445</v>
      </c>
      <c r="Q8" s="20">
        <f t="shared" si="2"/>
        <v>4.6098523220329826</v>
      </c>
      <c r="R8" s="59">
        <f t="shared" si="0"/>
        <v>297.94318565536628</v>
      </c>
      <c r="S8" s="59">
        <f ca="1">AVERAGE(OFFSET($R$3,0,0,'Données projet'!$E$9+1,1))-AVERAGE(OFFSET($H$3,0,0,'Données projet'!$E$9+1,1))</f>
        <v>379.12827535040157</v>
      </c>
      <c r="T8" s="59">
        <f t="shared" si="34"/>
        <v>317.29813413796956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300.59185301917586</v>
      </c>
      <c r="AN8" s="59">
        <f ca="1">AVERAGE(OFFSET($AM$3,0,0,'Données projet'!$E$10+1,1))-AVERAGE(OFFSET($H$3,0,0,'Données projet'!$E$10+1,1))</f>
        <v>392.48436003609055</v>
      </c>
      <c r="AO8" s="59">
        <f t="shared" si="36"/>
        <v>236.3312446580419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2.0406794093446692</v>
      </c>
      <c r="BF8" s="13">
        <f t="shared" si="37"/>
        <v>0.86550396667632346</v>
      </c>
      <c r="BG8" s="20">
        <f t="shared" si="7"/>
        <v>5.061602713236562</v>
      </c>
      <c r="BH8" s="59">
        <f t="shared" si="8"/>
        <v>298.39493604656985</v>
      </c>
      <c r="BI8" s="59">
        <f ca="1">AVERAGE(OFFSET($BH$3,0,0,'Données projet'!$E$11+1,1))-AVERAGE(OFFSET($H$3,0,0,'Données projet'!$E$11+1,1))</f>
        <v>352.61091660077574</v>
      </c>
      <c r="BJ8" s="59">
        <f t="shared" si="38"/>
        <v>186.48649111821521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4.1333333333333337</v>
      </c>
      <c r="N9" s="13">
        <f>IF('Données projet'!$A$36&gt;35,N8+M9-V8,IF(A9&lt;'Données projet'!$A$36,$K$205^A9,IF(A9='Données projet'!$A$36,'Données projet'!$B$36,N8+M9-V8)))</f>
        <v>5.211427205342491</v>
      </c>
      <c r="O9" s="13">
        <f>N9*VLOOKUP('Données projet'!$B$9,Paramètres!$A$1:$I$89,3,0)*VLOOKUP('Données projet'!$B$9,Paramètres!$A$1:$I$89,5,0)</f>
        <v>2.438947932100286</v>
      </c>
      <c r="P9" s="13">
        <f t="shared" si="33"/>
        <v>1.0131744268195433</v>
      </c>
      <c r="Q9" s="20">
        <f t="shared" si="2"/>
        <v>6.0124464417853689</v>
      </c>
      <c r="R9" s="59">
        <f t="shared" si="0"/>
        <v>299.34577977511867</v>
      </c>
      <c r="S9" s="59">
        <f ca="1">AVERAGE(OFFSET($R$3,0,0,'Données projet'!$E$9+1,1))-AVERAGE(OFFSET($H$3,0,0,'Données projet'!$E$9+1,1))</f>
        <v>379.12827535040157</v>
      </c>
      <c r="T9" s="59">
        <f t="shared" si="34"/>
        <v>317.29813413796956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302.26453514848305</v>
      </c>
      <c r="AN9" s="59">
        <f ca="1">AVERAGE(OFFSET($AM$3,0,0,'Données projet'!$E$10+1,1))-AVERAGE(OFFSET($H$3,0,0,'Données projet'!$E$10+1,1))</f>
        <v>392.48436003609055</v>
      </c>
      <c r="AO9" s="59">
        <f t="shared" si="36"/>
        <v>236.3312446580419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2.4267904730322307</v>
      </c>
      <c r="BF9" s="13">
        <f t="shared" si="37"/>
        <v>1.0087106093953995</v>
      </c>
      <c r="BG9" s="20">
        <f t="shared" si="7"/>
        <v>5.9834977185614555</v>
      </c>
      <c r="BH9" s="59">
        <f t="shared" si="8"/>
        <v>299.31683105189478</v>
      </c>
      <c r="BI9" s="59">
        <f ca="1">AVERAGE(OFFSET($BH$3,0,0,'Données projet'!$E$11+1,1))-AVERAGE(OFFSET($H$3,0,0,'Données projet'!$E$11+1,1))</f>
        <v>352.61091660077574</v>
      </c>
      <c r="BJ9" s="59">
        <f t="shared" si="38"/>
        <v>186.48649111821521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4.1333333333333337</v>
      </c>
      <c r="N10" s="13">
        <f>IF('Données projet'!$A$36&gt;35,N9+M10-V9,IF(A10&lt;'Données projet'!$A$36,$K$205^A10,IF(A10='Données projet'!$A$36,'Données projet'!$B$36,N9+M10-V9)))</f>
        <v>6.8619801133909482</v>
      </c>
      <c r="O10" s="13">
        <f>N10*VLOOKUP('Données projet'!$B$9,Paramètres!$A$1:$I$89,3,0)*VLOOKUP('Données projet'!$B$9,Paramètres!$A$1:$I$89,5,0)</f>
        <v>3.211406693066964</v>
      </c>
      <c r="P10" s="13">
        <f t="shared" si="33"/>
        <v>1.2920164381721646</v>
      </c>
      <c r="Q10" s="20">
        <f t="shared" si="2"/>
        <v>7.8434619535748142</v>
      </c>
      <c r="R10" s="59">
        <f t="shared" si="0"/>
        <v>301.17679528690815</v>
      </c>
      <c r="S10" s="59">
        <f ca="1">AVERAGE(OFFSET($R$3,0,0,'Données projet'!$E$9+1,1))-AVERAGE(OFFSET($H$3,0,0,'Données projet'!$E$9+1,1))</f>
        <v>379.12827535040157</v>
      </c>
      <c r="T10" s="59">
        <f t="shared" si="34"/>
        <v>317.29813413796956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304.32406934343595</v>
      </c>
      <c r="AN10" s="59">
        <f ca="1">AVERAGE(OFFSET($AM$3,0,0,'Données projet'!$E$10+1,1))-AVERAGE(OFFSET($H$3,0,0,'Données projet'!$E$10+1,1))</f>
        <v>392.48436003609055</v>
      </c>
      <c r="AO10" s="59">
        <f t="shared" si="36"/>
        <v>236.3312446580419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2.8859564971507474</v>
      </c>
      <c r="BF10" s="13">
        <f t="shared" si="37"/>
        <v>1.1756122821876749</v>
      </c>
      <c r="BG10" s="20">
        <f t="shared" si="7"/>
        <v>7.073898957347752</v>
      </c>
      <c r="BH10" s="59">
        <f t="shared" si="8"/>
        <v>300.40723229068107</v>
      </c>
      <c r="BI10" s="59">
        <f ca="1">AVERAGE(OFFSET($BH$3,0,0,'Données projet'!$E$11+1,1))-AVERAGE(OFFSET($H$3,0,0,'Données projet'!$E$11+1,1))</f>
        <v>352.61091660077574</v>
      </c>
      <c r="BJ10" s="59">
        <f t="shared" si="38"/>
        <v>186.48649111821521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4.1333333333333337</v>
      </c>
      <c r="N11" s="13">
        <f>IF('Données projet'!$A$36&gt;35,N10+M11-V10,IF(A11&lt;'Données projet'!$A$36,$K$205^A11,IF(A11='Données projet'!$A$36,'Données projet'!$B$36,N10+M11-V10)))</f>
        <v>9.0352928710779814</v>
      </c>
      <c r="O11" s="13">
        <f>N11*VLOOKUP('Données projet'!$B$9,Paramètres!$A$1:$I$89,3,0)*VLOOKUP('Données projet'!$B$9,Paramètres!$A$1:$I$89,5,0)</f>
        <v>4.2285170636644951</v>
      </c>
      <c r="P11" s="13">
        <f t="shared" si="33"/>
        <v>1.6476002870968705</v>
      </c>
      <c r="Q11" s="20">
        <f t="shared" si="2"/>
        <v>10.234237719242712</v>
      </c>
      <c r="R11" s="59">
        <f t="shared" si="0"/>
        <v>303.567571052576</v>
      </c>
      <c r="S11" s="59">
        <f ca="1">AVERAGE(OFFSET($R$3,0,0,'Données projet'!$E$9+1,1))-AVERAGE(OFFSET($H$3,0,0,'Données projet'!$E$9+1,1))</f>
        <v>379.12827535040157</v>
      </c>
      <c r="T11" s="59">
        <f t="shared" si="34"/>
        <v>317.29813413796956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306.86022716374464</v>
      </c>
      <c r="AN11" s="59">
        <f ca="1">AVERAGE(OFFSET($AM$3,0,0,'Données projet'!$E$10+1,1))-AVERAGE(OFFSET($H$3,0,0,'Données projet'!$E$10+1,1))</f>
        <v>392.48436003609055</v>
      </c>
      <c r="AO11" s="59">
        <f t="shared" si="36"/>
        <v>236.3312446580419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3.4319999999999991</v>
      </c>
      <c r="BF11" s="13">
        <f t="shared" si="37"/>
        <v>1.3701295744860806</v>
      </c>
      <c r="BG11" s="20">
        <f t="shared" si="7"/>
        <v>8.3637090088965884</v>
      </c>
      <c r="BH11" s="59">
        <f t="shared" si="8"/>
        <v>301.69704234222991</v>
      </c>
      <c r="BI11" s="59">
        <f ca="1">AVERAGE(OFFSET($BH$3,0,0,'Données projet'!$E$11+1,1))-AVERAGE(OFFSET($H$3,0,0,'Données projet'!$E$11+1,1))</f>
        <v>352.61091660077574</v>
      </c>
      <c r="BJ11" s="59">
        <f t="shared" si="38"/>
        <v>186.48649111821521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4.1333333333333337</v>
      </c>
      <c r="N12" s="13">
        <f>IF('Données projet'!$A$36&gt;35,N11+M12-V11,IF(A12&lt;'Données projet'!$A$36,$K$205^A12,IF(A12='Données projet'!$A$36,'Données projet'!$B$36,N11+M12-V11)))</f>
        <v>11.896932943137122</v>
      </c>
      <c r="O12" s="13">
        <f>N12*VLOOKUP('Données projet'!$B$9,Paramètres!$A$1:$I$89,3,0)*VLOOKUP('Données projet'!$B$9,Paramètres!$A$1:$I$89,5,0)</f>
        <v>5.5677646173881739</v>
      </c>
      <c r="P12" s="13">
        <f t="shared" si="33"/>
        <v>2.1010465701830059</v>
      </c>
      <c r="Q12" s="20">
        <f t="shared" si="2"/>
        <v>13.356512818353137</v>
      </c>
      <c r="R12" s="59">
        <f t="shared" si="0"/>
        <v>306.68984615168642</v>
      </c>
      <c r="S12" s="59">
        <f ca="1">AVERAGE(OFFSET($R$3,0,0,'Données projet'!$E$9+1,1))-AVERAGE(OFFSET($H$3,0,0,'Données projet'!$E$9+1,1))</f>
        <v>379.12827535040157</v>
      </c>
      <c r="T12" s="59">
        <f t="shared" si="34"/>
        <v>317.29813413796956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309.9836774071448</v>
      </c>
      <c r="AN12" s="59">
        <f ca="1">AVERAGE(OFFSET($AM$3,0,0,'Données projet'!$E$10+1,1))-AVERAGE(OFFSET($H$3,0,0,'Données projet'!$E$10+1,1))</f>
        <v>392.48436003609055</v>
      </c>
      <c r="AO12" s="59">
        <f t="shared" si="36"/>
        <v>236.3312446580419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4.0813588186893375</v>
      </c>
      <c r="BF12" s="13">
        <f t="shared" si="37"/>
        <v>1.5968317780655192</v>
      </c>
      <c r="BG12" s="20">
        <f t="shared" si="7"/>
        <v>9.8895152893480418</v>
      </c>
      <c r="BH12" s="59">
        <f t="shared" si="8"/>
        <v>303.22284862268134</v>
      </c>
      <c r="BI12" s="59">
        <f ca="1">AVERAGE(OFFSET($BH$3,0,0,'Données projet'!$E$11+1,1))-AVERAGE(OFFSET($H$3,0,0,'Données projet'!$E$11+1,1))</f>
        <v>352.61091660077574</v>
      </c>
      <c r="BJ12" s="59">
        <f t="shared" si="38"/>
        <v>186.48649111821521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4.1333333333333337</v>
      </c>
      <c r="N13" s="13">
        <f>IF('Données projet'!$A$36&gt;35,N12+M13-V12,IF(A13&lt;'Données projet'!$A$36,$K$205^A13,IF(A13='Données projet'!$A$36,'Données projet'!$B$36,N12+M13-V12)))</f>
        <v>15.664905993978572</v>
      </c>
      <c r="O13" s="13">
        <f>N13*VLOOKUP('Données projet'!$B$9,Paramètres!$A$1:$I$89,3,0)*VLOOKUP('Données projet'!$B$9,Paramètres!$A$1:$I$89,5,0)</f>
        <v>7.3311760051819714</v>
      </c>
      <c r="P13" s="13">
        <f t="shared" si="33"/>
        <v>2.6792886142646251</v>
      </c>
      <c r="Q13" s="20">
        <f t="shared" si="2"/>
        <v>17.434892545536155</v>
      </c>
      <c r="R13" s="59">
        <f t="shared" si="0"/>
        <v>310.76822587886949</v>
      </c>
      <c r="S13" s="59">
        <f ca="1">AVERAGE(OFFSET($R$3,0,0,'Données projet'!$E$9+1,1))-AVERAGE(OFFSET($H$3,0,0,'Données projet'!$E$9+1,1))</f>
        <v>379.12827535040157</v>
      </c>
      <c r="T13" s="59">
        <f t="shared" si="34"/>
        <v>317.29813413796956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313.83086464029793</v>
      </c>
      <c r="AN13" s="59">
        <f ca="1">AVERAGE(OFFSET($AM$3,0,0,'Données projet'!$E$10+1,1))-AVERAGE(OFFSET($H$3,0,0,'Données projet'!$E$10+1,1))</f>
        <v>392.48436003609055</v>
      </c>
      <c r="AO13" s="59">
        <f t="shared" si="36"/>
        <v>236.3312446580419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4.8535809460644597</v>
      </c>
      <c r="BF13" s="13">
        <f t="shared" si="37"/>
        <v>1.8610442215994896</v>
      </c>
      <c r="BG13" s="20">
        <f t="shared" si="7"/>
        <v>11.694638833681379</v>
      </c>
      <c r="BH13" s="59">
        <f t="shared" si="8"/>
        <v>305.0279721670147</v>
      </c>
      <c r="BI13" s="59">
        <f ca="1">AVERAGE(OFFSET($BH$3,0,0,'Données projet'!$E$11+1,1))-AVERAGE(OFFSET($H$3,0,0,'Données projet'!$E$11+1,1))</f>
        <v>352.61091660077574</v>
      </c>
      <c r="BJ13" s="59">
        <f t="shared" si="38"/>
        <v>186.48649111821521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4.1333333333333337</v>
      </c>
      <c r="N14" s="13">
        <f>IF('Données projet'!$A$36&gt;35,N13+M14-V13,IF(A14&lt;'Données projet'!$A$36,$K$205^A14,IF(A14='Données projet'!$A$36,'Données projet'!$B$36,N13+M14-V13)))</f>
        <v>20.626264010485261</v>
      </c>
      <c r="O14" s="13">
        <f>N14*VLOOKUP('Données projet'!$B$9,Paramètres!$A$1:$I$89,3,0)*VLOOKUP('Données projet'!$B$9,Paramètres!$A$1:$I$89,5,0)</f>
        <v>9.6530915569071016</v>
      </c>
      <c r="P14" s="13">
        <f t="shared" si="33"/>
        <v>3.4166722339252007</v>
      </c>
      <c r="Q14" s="20">
        <f t="shared" si="2"/>
        <v>22.763171935699592</v>
      </c>
      <c r="R14" s="59">
        <f t="shared" si="0"/>
        <v>316.09650526903289</v>
      </c>
      <c r="S14" s="59">
        <f ca="1">AVERAGE(OFFSET($R$3,0,0,'Données projet'!$E$9+1,1))-AVERAGE(OFFSET($H$3,0,0,'Données projet'!$E$9+1,1))</f>
        <v>379.12827535040157</v>
      </c>
      <c r="T14" s="59">
        <f t="shared" si="34"/>
        <v>317.29813413796956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318.57002964729838</v>
      </c>
      <c r="AN14" s="59">
        <f ca="1">AVERAGE(OFFSET($AM$3,0,0,'Données projet'!$E$10+1,1))-AVERAGE(OFFSET($H$3,0,0,'Données projet'!$E$10+1,1))</f>
        <v>392.48436003609055</v>
      </c>
      <c r="AO14" s="59">
        <f t="shared" si="36"/>
        <v>236.3312446580419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5.771912994301494</v>
      </c>
      <c r="BF14" s="13">
        <f t="shared" si="37"/>
        <v>2.1689733648366443</v>
      </c>
      <c r="BG14" s="20">
        <f t="shared" si="7"/>
        <v>13.830377075498925</v>
      </c>
      <c r="BH14" s="59">
        <f t="shared" si="8"/>
        <v>307.16371040883223</v>
      </c>
      <c r="BI14" s="59">
        <f ca="1">AVERAGE(OFFSET($BH$3,0,0,'Données projet'!$E$11+1,1))-AVERAGE(OFFSET($H$3,0,0,'Données projet'!$E$11+1,1))</f>
        <v>352.61091660077574</v>
      </c>
      <c r="BJ14" s="59">
        <f t="shared" si="38"/>
        <v>186.48649111821521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4.1333333333333337</v>
      </c>
      <c r="N15" s="13">
        <f>IF('Données projet'!$A$36&gt;35,N14+M15-V14,IF(A15&lt;'Données projet'!$A$36,$K$205^A15,IF(A15='Données projet'!$A$36,'Données projet'!$B$36,N14+M15-V14)))</f>
        <v>27.158973516583853</v>
      </c>
      <c r="O15" s="13">
        <f>N15*VLOOKUP('Données projet'!$B$9,Paramètres!$A$1:$I$89,3,0)*VLOOKUP('Données projet'!$B$9,Paramètres!$A$1:$I$89,5,0)</f>
        <v>12.710399605761243</v>
      </c>
      <c r="P15" s="13">
        <f t="shared" si="33"/>
        <v>4.3569957681768665</v>
      </c>
      <c r="Q15" s="20">
        <f t="shared" si="2"/>
        <v>29.725713609608871</v>
      </c>
      <c r="R15" s="59">
        <f t="shared" si="0"/>
        <v>323.05904694294219</v>
      </c>
      <c r="S15" s="59">
        <f ca="1">AVERAGE(OFFSET($R$3,0,0,'Données projet'!$E$9+1,1))-AVERAGE(OFFSET($H$3,0,0,'Données projet'!$E$9+1,1))</f>
        <v>379.12827535040157</v>
      </c>
      <c r="T15" s="59">
        <f t="shared" si="34"/>
        <v>317.29813413796956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324.40863972786531</v>
      </c>
      <c r="AN15" s="59">
        <f ca="1">AVERAGE(OFFSET($AM$3,0,0,'Données projet'!$E$10+1,1))-AVERAGE(OFFSET($H$3,0,0,'Données projet'!$E$10+1,1))</f>
        <v>392.48436003609055</v>
      </c>
      <c r="AO15" s="59">
        <f t="shared" si="36"/>
        <v>236.3312446580419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6.8639999999999963</v>
      </c>
      <c r="BF15" s="13">
        <f t="shared" si="37"/>
        <v>2.5278525909113112</v>
      </c>
      <c r="BG15" s="20">
        <f t="shared" si="7"/>
        <v>16.357476595837191</v>
      </c>
      <c r="BH15" s="59">
        <f t="shared" si="8"/>
        <v>309.69080992917048</v>
      </c>
      <c r="BI15" s="59">
        <f ca="1">AVERAGE(OFFSET($BH$3,0,0,'Données projet'!$E$11+1,1))-AVERAGE(OFFSET($H$3,0,0,'Données projet'!$E$11+1,1))</f>
        <v>352.61091660077574</v>
      </c>
      <c r="BJ15" s="59">
        <f t="shared" si="38"/>
        <v>186.48649111821521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4.1333333333333337</v>
      </c>
      <c r="N16" s="13">
        <f>IF('Données projet'!$A$36&gt;35,N15+M16-V15,IF(A16&lt;'Données projet'!$A$36,$K$205^A16,IF(A16='Données projet'!$A$36,'Données projet'!$B$36,N15+M16-V15)))</f>
        <v>35.760709845444744</v>
      </c>
      <c r="O16" s="13">
        <f>N16*VLOOKUP('Données projet'!$B$9,Paramètres!$A$1:$I$89,3,0)*VLOOKUP('Données projet'!$B$9,Paramètres!$A$1:$I$89,5,0)</f>
        <v>16.736012207668139</v>
      </c>
      <c r="P16" s="13">
        <f t="shared" si="33"/>
        <v>5.5561115682736277</v>
      </c>
      <c r="Q16" s="20">
        <f t="shared" si="2"/>
        <v>38.825448909765242</v>
      </c>
      <c r="R16" s="59">
        <f t="shared" si="0"/>
        <v>332.15878224309859</v>
      </c>
      <c r="S16" s="59">
        <f ca="1">AVERAGE(OFFSET($R$3,0,0,'Données projet'!$E$9+1,1))-AVERAGE(OFFSET($H$3,0,0,'Données projet'!$E$9+1,1))</f>
        <v>379.12827535040157</v>
      </c>
      <c r="T16" s="59">
        <f t="shared" si="34"/>
        <v>317.29813413796956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331.60255978040777</v>
      </c>
      <c r="AN16" s="59">
        <f ca="1">AVERAGE(OFFSET($AM$3,0,0,'Données projet'!$E$10+1,1))-AVERAGE(OFFSET($H$3,0,0,'Données projet'!$E$10+1,1))</f>
        <v>392.48436003609055</v>
      </c>
      <c r="AO16" s="59">
        <f t="shared" si="36"/>
        <v>236.3312446580419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8.1627176373786732</v>
      </c>
      <c r="BF16" s="13">
        <f t="shared" si="37"/>
        <v>2.946112121509751</v>
      </c>
      <c r="BG16" s="20">
        <f t="shared" si="7"/>
        <v>19.347878496730672</v>
      </c>
      <c r="BH16" s="59">
        <f t="shared" si="8"/>
        <v>312.681211830064</v>
      </c>
      <c r="BI16" s="59">
        <f ca="1">AVERAGE(OFFSET($BH$3,0,0,'Données projet'!$E$11+1,1))-AVERAGE(OFFSET($H$3,0,0,'Données projet'!$E$11+1,1))</f>
        <v>352.61091660077574</v>
      </c>
      <c r="BJ16" s="59">
        <f t="shared" si="38"/>
        <v>186.48649111821521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4.1333333333333337</v>
      </c>
      <c r="N17" s="13">
        <f>IF('Données projet'!$A$36&gt;35,N16+M17-V16,IF(A17&lt;'Données projet'!$A$36,$K$205^A17,IF(A17='Données projet'!$A$36,'Données projet'!$B$36,N16+M17-V16)))</f>
        <v>47.086771076572859</v>
      </c>
      <c r="O17" s="13">
        <f>N17*VLOOKUP('Données projet'!$B$9,Paramètres!$A$1:$I$89,3,0)*VLOOKUP('Données projet'!$B$9,Paramètres!$A$1:$I$89,5,0)</f>
        <v>22.036608863836101</v>
      </c>
      <c r="P17" s="13">
        <f t="shared" si="33"/>
        <v>7.0852434571037932</v>
      </c>
      <c r="Q17" s="20">
        <f t="shared" si="2"/>
        <v>50.720559458970314</v>
      </c>
      <c r="R17" s="59">
        <f t="shared" si="0"/>
        <v>344.0538927923036</v>
      </c>
      <c r="S17" s="59">
        <f ca="1">AVERAGE(OFFSET($R$3,0,0,'Données projet'!$E$9+1,1))-AVERAGE(OFFSET($H$3,0,0,'Données projet'!$E$9+1,1))</f>
        <v>379.12827535040157</v>
      </c>
      <c r="T17" s="59">
        <f t="shared" si="34"/>
        <v>317.29813413796956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340.46737295239302</v>
      </c>
      <c r="AN17" s="59">
        <f ca="1">AVERAGE(OFFSET($AM$3,0,0,'Données projet'!$E$10+1,1))-AVERAGE(OFFSET($H$3,0,0,'Données projet'!$E$10+1,1))</f>
        <v>392.48436003609055</v>
      </c>
      <c r="AO17" s="59">
        <f t="shared" si="36"/>
        <v>236.3312446580419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9.7071618921289176</v>
      </c>
      <c r="BF17" s="13">
        <f t="shared" si="37"/>
        <v>3.433577046269785</v>
      </c>
      <c r="BG17" s="20">
        <f t="shared" si="7"/>
        <v>22.886786984377736</v>
      </c>
      <c r="BH17" s="59">
        <f t="shared" si="8"/>
        <v>316.22012031771106</v>
      </c>
      <c r="BI17" s="59">
        <f ca="1">AVERAGE(OFFSET($BH$3,0,0,'Données projet'!$E$11+1,1))-AVERAGE(OFFSET($H$3,0,0,'Données projet'!$E$11+1,1))</f>
        <v>352.61091660077574</v>
      </c>
      <c r="BJ17" s="59">
        <f t="shared" si="38"/>
        <v>186.48649111821521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62</v>
      </c>
      <c r="L18" s="12">
        <f>VLOOKUP(A18,'Données projet'!$A$35:$I$55,9,0)</f>
        <v>4.1333333333333337</v>
      </c>
      <c r="M18" s="12">
        <f t="array" ref="M18">INDEX(L:L,MIN(IF(ISNUMBER(L18:L214),ROW(L18:L214),"")))</f>
        <v>4.1333333333333337</v>
      </c>
      <c r="N18" s="13">
        <f>IF('Données projet'!$A$36&gt;35,N17+M18-V17,IF(A18&lt;'Données projet'!$A$36,$K$205^A18,IF(A18='Données projet'!$A$36,'Données projet'!$B$36,N17+M18-V17)))</f>
        <v>62</v>
      </c>
      <c r="O18" s="13">
        <f>N18*VLOOKUP('Données projet'!$B$9,Paramètres!$A$1:$I$89,3,0)*VLOOKUP('Données projet'!$B$9,Paramètres!$A$1:$I$89,5,0)</f>
        <v>29.016000000000002</v>
      </c>
      <c r="P18" s="13">
        <f t="shared" si="33"/>
        <v>9.0352172071357728</v>
      </c>
      <c r="Q18" s="20">
        <f t="shared" si="2"/>
        <v>66.272536635761469</v>
      </c>
      <c r="R18" s="59">
        <f t="shared" si="0"/>
        <v>359.60586996909478</v>
      </c>
      <c r="S18" s="59">
        <f ca="1">AVERAGE(OFFSET($R$3,0,0,'Données projet'!$E$9+1,1))-AVERAGE(OFFSET($H$3,0,0,'Données projet'!$E$9+1,1))</f>
        <v>379.12827535040157</v>
      </c>
      <c r="T18" s="59">
        <f t="shared" si="34"/>
        <v>317.29813413796956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351.39235583545371</v>
      </c>
      <c r="AN18" s="59">
        <f ca="1">AVERAGE(OFFSET($AM$3,0,0,'Données projet'!$E$10+1,1))-AVERAGE(OFFSET($H$3,0,0,'Données projet'!$E$10+1,1))</f>
        <v>392.48436003609055</v>
      </c>
      <c r="AO18" s="59">
        <f t="shared" si="36"/>
        <v>236.3312446580419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11.543825988602984</v>
      </c>
      <c r="BF18" s="13">
        <f t="shared" si="37"/>
        <v>4.0016981182064377</v>
      </c>
      <c r="BG18" s="20">
        <f t="shared" si="7"/>
        <v>27.075121152693075</v>
      </c>
      <c r="BH18" s="59">
        <f t="shared" si="8"/>
        <v>320.40845448602641</v>
      </c>
      <c r="BI18" s="59">
        <f ca="1">AVERAGE(OFFSET($BH$3,0,0,'Données projet'!$E$11+1,1))-AVERAGE(OFFSET($H$3,0,0,'Données projet'!$E$11+1,1))</f>
        <v>352.61091660077574</v>
      </c>
      <c r="BJ18" s="59">
        <f t="shared" si="38"/>
        <v>186.48649111821521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20.399999999999999</v>
      </c>
      <c r="N19" s="13">
        <f>IF('Données projet'!$A$36&gt;35,N18+M19-V18,IF(A19&lt;'Données projet'!$A$36,$K$205^A19,IF(A19='Données projet'!$A$36,'Données projet'!$B$36,N18+M19-V18)))</f>
        <v>82.4</v>
      </c>
      <c r="O19" s="13">
        <f>N19*VLOOKUP('Données projet'!$B$9,Paramètres!$A$1:$I$89,3,0)*VLOOKUP('Données projet'!$B$9,Paramètres!$A$1:$I$89,5,0)</f>
        <v>38.563200000000002</v>
      </c>
      <c r="P19" s="13">
        <f t="shared" si="33"/>
        <v>11.617015930302525</v>
      </c>
      <c r="Q19" s="20">
        <f t="shared" si="2"/>
        <v>87.39720941194355</v>
      </c>
      <c r="R19" s="59">
        <f t="shared" si="0"/>
        <v>380.73054274527686</v>
      </c>
      <c r="S19" s="59">
        <f ca="1">AVERAGE(OFFSET($R$3,0,0,'Données projet'!$E$9+1,1))-AVERAGE(OFFSET($H$3,0,0,'Données projet'!$E$9+1,1))</f>
        <v>379.12827535040157</v>
      </c>
      <c r="T19" s="59">
        <f t="shared" si="34"/>
        <v>317.29813413796956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364.8577320573234</v>
      </c>
      <c r="AN19" s="59">
        <f ca="1">AVERAGE(OFFSET($AM$3,0,0,'Données projet'!$E$10+1,1))-AVERAGE(OFFSET($H$3,0,0,'Données projet'!$E$10+1,1))</f>
        <v>392.48436003609055</v>
      </c>
      <c r="AO19" s="59">
        <f t="shared" si="36"/>
        <v>236.3312446580419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13.727999999999991</v>
      </c>
      <c r="BF19" s="13">
        <f t="shared" si="37"/>
        <v>4.6638207366437268</v>
      </c>
      <c r="BG19" s="20">
        <f t="shared" si="7"/>
        <v>32.032421116321139</v>
      </c>
      <c r="BH19" s="59">
        <f t="shared" si="8"/>
        <v>325.36575444965445</v>
      </c>
      <c r="BI19" s="59">
        <f ca="1">AVERAGE(OFFSET($BH$3,0,0,'Données projet'!$E$11+1,1))-AVERAGE(OFFSET($H$3,0,0,'Données projet'!$E$11+1,1))</f>
        <v>352.61091660077574</v>
      </c>
      <c r="BJ19" s="59">
        <f t="shared" si="38"/>
        <v>186.48649111821521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20.399999999999999</v>
      </c>
      <c r="N20" s="13">
        <f>IF('Données projet'!$A$36&gt;35,N19+M20-V19,IF(A20&lt;'Données projet'!$A$36,$K$205^A20,IF(A20='Données projet'!$A$36,'Données projet'!$B$36,N19+M20-V19)))</f>
        <v>102.80000000000001</v>
      </c>
      <c r="O20" s="13">
        <f>N20*VLOOKUP('Données projet'!$B$9,Paramètres!$A$1:$I$89,3,0)*VLOOKUP('Données projet'!$B$9,Paramètres!$A$1:$I$89,5,0)</f>
        <v>48.110400000000006</v>
      </c>
      <c r="P20" s="13">
        <f t="shared" si="33"/>
        <v>14.124673471362632</v>
      </c>
      <c r="Q20" s="20">
        <f t="shared" si="2"/>
        <v>108.39275296262326</v>
      </c>
      <c r="R20" s="59">
        <f t="shared" si="0"/>
        <v>401.72608629595658</v>
      </c>
      <c r="S20" s="59">
        <f ca="1">AVERAGE(OFFSET($R$3,0,0,'Données projet'!$E$9+1,1))-AVERAGE(OFFSET($H$3,0,0,'Données projet'!$E$9+1,1))</f>
        <v>379.12827535040157</v>
      </c>
      <c r="T20" s="59">
        <f t="shared" si="34"/>
        <v>317.29813413796956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381.45597503324353</v>
      </c>
      <c r="AN20" s="59">
        <f ca="1">AVERAGE(OFFSET($AM$3,0,0,'Données projet'!$E$10+1,1))-AVERAGE(OFFSET($H$3,0,0,'Données projet'!$E$10+1,1))</f>
        <v>392.48436003609055</v>
      </c>
      <c r="AO20" s="59">
        <f t="shared" si="36"/>
        <v>236.3312446580419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16.325435274757343</v>
      </c>
      <c r="BF20" s="13">
        <f t="shared" si="37"/>
        <v>5.4354984361731269</v>
      </c>
      <c r="BG20" s="20">
        <f t="shared" si="7"/>
        <v>37.90029287987057</v>
      </c>
      <c r="BH20" s="59">
        <f t="shared" si="8"/>
        <v>331.23362621320388</v>
      </c>
      <c r="BI20" s="59">
        <f ca="1">AVERAGE(OFFSET($BH$3,0,0,'Données projet'!$E$11+1,1))-AVERAGE(OFFSET($H$3,0,0,'Données projet'!$E$11+1,1))</f>
        <v>352.61091660077574</v>
      </c>
      <c r="BJ20" s="59">
        <f t="shared" si="38"/>
        <v>186.48649111821521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20.399999999999999</v>
      </c>
      <c r="N21" s="13">
        <f>IF('Données projet'!$A$36&gt;35,N20+M21-V20,IF(A21&lt;'Données projet'!$A$36,$K$205^A21,IF(A21='Données projet'!$A$36,'Données projet'!$B$36,N20+M21-V20)))</f>
        <v>123.20000000000002</v>
      </c>
      <c r="O21" s="13">
        <f>N21*VLOOKUP('Données projet'!$B$9,Paramètres!$A$1:$I$89,3,0)*VLOOKUP('Données projet'!$B$9,Paramètres!$A$1:$I$89,5,0)</f>
        <v>57.657600000000009</v>
      </c>
      <c r="P21" s="13">
        <f t="shared" si="33"/>
        <v>16.574671209026025</v>
      </c>
      <c r="Q21" s="20">
        <f t="shared" si="2"/>
        <v>129.28787235572034</v>
      </c>
      <c r="R21" s="59">
        <f t="shared" si="0"/>
        <v>422.62120568905368</v>
      </c>
      <c r="S21" s="59">
        <f ca="1">AVERAGE(OFFSET($R$3,0,0,'Données projet'!$E$9+1,1))-AVERAGE(OFFSET($H$3,0,0,'Données projet'!$E$9+1,1))</f>
        <v>379.12827535040157</v>
      </c>
      <c r="T21" s="59">
        <f t="shared" si="34"/>
        <v>317.29813413796956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401.91811220908329</v>
      </c>
      <c r="AN21" s="59">
        <f ca="1">AVERAGE(OFFSET($AM$3,0,0,'Données projet'!$E$10+1,1))-AVERAGE(OFFSET($H$3,0,0,'Données projet'!$E$10+1,1))</f>
        <v>392.48436003609055</v>
      </c>
      <c r="AO21" s="59">
        <f t="shared" si="36"/>
        <v>236.3312446580419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19.414323784257832</v>
      </c>
      <c r="BF21" s="13">
        <f t="shared" si="37"/>
        <v>6.3348582456241713</v>
      </c>
      <c r="BG21" s="20">
        <f t="shared" si="7"/>
        <v>44.846492035377821</v>
      </c>
      <c r="BH21" s="59">
        <f t="shared" si="8"/>
        <v>338.17982536871114</v>
      </c>
      <c r="BI21" s="59">
        <f ca="1">AVERAGE(OFFSET($BH$3,0,0,'Données projet'!$E$11+1,1))-AVERAGE(OFFSET($H$3,0,0,'Données projet'!$E$11+1,1))</f>
        <v>352.61091660077574</v>
      </c>
      <c r="BJ21" s="59">
        <f t="shared" si="38"/>
        <v>186.48649111821521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20.399999999999999</v>
      </c>
      <c r="N22" s="13">
        <f>IF('Données projet'!$A$36&gt;35,N21+M22-V21,IF(A22&lt;'Données projet'!$A$36,$K$205^A22,IF(A22='Données projet'!$A$36,'Données projet'!$B$36,N21+M22-V21)))</f>
        <v>143.60000000000002</v>
      </c>
      <c r="O22" s="13">
        <f>N22*VLOOKUP('Données projet'!$B$9,Paramètres!$A$1:$I$89,3,0)*VLOOKUP('Données projet'!$B$9,Paramètres!$A$1:$I$89,5,0)</f>
        <v>67.204800000000006</v>
      </c>
      <c r="P22" s="13">
        <f t="shared" si="33"/>
        <v>18.977673201594712</v>
      </c>
      <c r="Q22" s="20">
        <f t="shared" si="2"/>
        <v>150.10114082611082</v>
      </c>
      <c r="R22" s="59">
        <f t="shared" si="0"/>
        <v>443.43447415944411</v>
      </c>
      <c r="S22" s="59">
        <f ca="1">AVERAGE(OFFSET($R$3,0,0,'Données projet'!$E$9+1,1))-AVERAGE(OFFSET($H$3,0,0,'Données projet'!$E$9+1,1))</f>
        <v>379.12827535040157</v>
      </c>
      <c r="T22" s="59">
        <f t="shared" si="34"/>
        <v>317.29813413796956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427.14620754720647</v>
      </c>
      <c r="AN22" s="59">
        <f ca="1">AVERAGE(OFFSET($AM$3,0,0,'Données projet'!$E$10+1,1))-AVERAGE(OFFSET($H$3,0,0,'Données projet'!$E$10+1,1))</f>
        <v>392.48436003609055</v>
      </c>
      <c r="AO22" s="59">
        <f t="shared" si="36"/>
        <v>236.3312446580419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23.087651977205965</v>
      </c>
      <c r="BF22" s="13">
        <f t="shared" si="37"/>
        <v>7.3830264994807839</v>
      </c>
      <c r="BG22" s="20">
        <f t="shared" si="7"/>
        <v>53.069765013562751</v>
      </c>
      <c r="BH22" s="59">
        <f t="shared" si="8"/>
        <v>346.40309834689606</v>
      </c>
      <c r="BI22" s="59">
        <f ca="1">AVERAGE(OFFSET($BH$3,0,0,'Données projet'!$E$11+1,1))-AVERAGE(OFFSET($H$3,0,0,'Données projet'!$E$11+1,1))</f>
        <v>352.61091660077574</v>
      </c>
      <c r="BJ22" s="59">
        <f t="shared" si="38"/>
        <v>186.48649111821521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164</v>
      </c>
      <c r="L23" s="12">
        <f>VLOOKUP(A23,'Données projet'!$A$35:$I$55,9,0)</f>
        <v>20.399999999999999</v>
      </c>
      <c r="M23" s="12">
        <f t="array" ref="M23">INDEX(L:L,MIN(IF(ISNUMBER(L23:L219),ROW(L23:L219),"")))</f>
        <v>20.399999999999999</v>
      </c>
      <c r="N23" s="13">
        <f>IF('Données projet'!$A$36&gt;35,N22+M23-V22,IF(A23&lt;'Données projet'!$A$36,$K$205^A23,IF(A23='Données projet'!$A$36,'Données projet'!$B$36,N22+M23-V22)))</f>
        <v>164.00000000000003</v>
      </c>
      <c r="O23" s="13">
        <f>N23*VLOOKUP('Données projet'!$B$9,Paramètres!$A$1:$I$89,3,0)*VLOOKUP('Données projet'!$B$9,Paramètres!$A$1:$I$89,5,0)</f>
        <v>76.75200000000001</v>
      </c>
      <c r="P23" s="13">
        <f t="shared" si="33"/>
        <v>21.341125747045119</v>
      </c>
      <c r="Q23" s="20">
        <f t="shared" si="2"/>
        <v>170.84552734277023</v>
      </c>
      <c r="R23" s="59">
        <f t="shared" si="0"/>
        <v>464.17886067610357</v>
      </c>
      <c r="S23" s="59">
        <f ca="1">AVERAGE(OFFSET($R$3,0,0,'Données projet'!$E$9+1,1))-AVERAGE(OFFSET($H$3,0,0,'Données projet'!$E$9+1,1))</f>
        <v>379.12827535040157</v>
      </c>
      <c r="T23" s="59">
        <f t="shared" si="34"/>
        <v>317.29813413796956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13.777002596302035</v>
      </c>
      <c r="AC23" s="22">
        <f t="shared" si="3"/>
        <v>13.777002596302035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458.2534764024507</v>
      </c>
      <c r="AN23" s="59">
        <f ca="1">AVERAGE(OFFSET($AM$3,0,0,'Données projet'!$E$10+1,1))-AVERAGE(OFFSET($H$3,0,0,'Données projet'!$E$10+1,1))</f>
        <v>392.48436003609055</v>
      </c>
      <c r="AO23" s="59">
        <f t="shared" si="36"/>
        <v>236.3312446580419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27.456000000000003</v>
      </c>
      <c r="BF23" s="13">
        <f t="shared" si="37"/>
        <v>8.604625104229898</v>
      </c>
      <c r="BG23" s="20">
        <f t="shared" si="7"/>
        <v>62.805588723200408</v>
      </c>
      <c r="BH23" s="59">
        <f t="shared" si="8"/>
        <v>356.13892205653372</v>
      </c>
      <c r="BI23" s="59">
        <f ca="1">AVERAGE(OFFSET($BH$3,0,0,'Données projet'!$E$11+1,1))-AVERAGE(OFFSET($H$3,0,0,'Données projet'!$E$11+1,1))</f>
        <v>352.61091660077574</v>
      </c>
      <c r="BJ23" s="59">
        <f t="shared" si="38"/>
        <v>186.48649111821521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26.4</v>
      </c>
      <c r="N24" s="13">
        <f>IF('Données projet'!$A$36&gt;35,N23+M24-V23,IF(A24&lt;'Données projet'!$A$36,$K$205^A24,IF(A24='Données projet'!$A$36,'Données projet'!$B$36,N23+M24-V23)))</f>
        <v>164.40000000000003</v>
      </c>
      <c r="O24" s="13">
        <f>N24*VLOOKUP('Données projet'!$B$9,Paramètres!$A$1:$I$89,3,0)*VLOOKUP('Données projet'!$B$9,Paramètres!$A$1:$I$89,5,0)</f>
        <v>76.939200000000014</v>
      </c>
      <c r="P24" s="13">
        <f t="shared" si="33"/>
        <v>21.38711195280052</v>
      </c>
      <c r="Q24" s="20">
        <f t="shared" si="2"/>
        <v>171.25165998446093</v>
      </c>
      <c r="R24" s="59">
        <f t="shared" si="0"/>
        <v>464.58499331779421</v>
      </c>
      <c r="S24" s="59">
        <f ca="1">AVERAGE(OFFSET($R$3,0,0,'Données projet'!$E$9+1,1))-AVERAGE(OFFSET($H$3,0,0,'Données projet'!$E$9+1,1))</f>
        <v>379.12827535040157</v>
      </c>
      <c r="T24" s="59">
        <f t="shared" si="34"/>
        <v>317.29813413796956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9.7418119602698408</v>
      </c>
      <c r="AC24" s="22">
        <f t="shared" si="3"/>
        <v>9.7418119602698408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9">
        <f t="shared" si="5"/>
        <v>460.89511484081447</v>
      </c>
      <c r="AN24" s="59">
        <f ca="1">AVERAGE(OFFSET($AM$3,0,0,'Données projet'!$E$10+1,1))-AVERAGE(OFFSET($H$3,0,0,'Données projet'!$E$10+1,1))</f>
        <v>392.48436003609055</v>
      </c>
      <c r="AO24" s="59">
        <f t="shared" si="36"/>
        <v>236.3312446580419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8.8000000000000007</v>
      </c>
      <c r="BD24" s="12">
        <f>IF('Données projet'!$A$88&gt;35,BD23+BC24-BL23,IF(A24&lt;'Données projet'!$A$88,$BA$205^A24,IF(A24='Données projet'!$A$88,'Données projet'!$B$88,BD23+BC24-BL23)))</f>
        <v>40.799999999999997</v>
      </c>
      <c r="BE24" s="13">
        <f>BD24*VLOOKUP('Données projet'!$B$11,Paramètres!$A$1:$I$89,3,0)*VLOOKUP('Données projet'!$B$11,Paramètres!$A$1:$I$89,5,0)</f>
        <v>35.006400000000006</v>
      </c>
      <c r="BF24" s="13">
        <f t="shared" si="37"/>
        <v>10.664997365847841</v>
      </c>
      <c r="BG24" s="20">
        <f t="shared" si="7"/>
        <v>79.544350412184983</v>
      </c>
      <c r="BH24" s="59">
        <f t="shared" si="8"/>
        <v>372.87768374551831</v>
      </c>
      <c r="BI24" s="59">
        <f ca="1">AVERAGE(OFFSET($BH$3,0,0,'Données projet'!$E$11+1,1))-AVERAGE(OFFSET($H$3,0,0,'Données projet'!$E$11+1,1))</f>
        <v>352.61091660077574</v>
      </c>
      <c r="BJ24" s="59">
        <f t="shared" si="38"/>
        <v>186.48649111821521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26.4</v>
      </c>
      <c r="N25" s="13">
        <f>IF('Données projet'!$A$36&gt;35,N24+M25-V24,IF(A25&lt;'Données projet'!$A$36,$K$205^A25,IF(A25='Données projet'!$A$36,'Données projet'!$B$36,N24+M25-V24)))</f>
        <v>190.80000000000004</v>
      </c>
      <c r="O25" s="13">
        <f>N25*VLOOKUP('Données projet'!$B$9,Paramètres!$A$1:$I$89,3,0)*VLOOKUP('Données projet'!$B$9,Paramètres!$A$1:$I$89,5,0)</f>
        <v>89.294400000000024</v>
      </c>
      <c r="P25" s="13">
        <f t="shared" si="33"/>
        <v>24.394973389005663</v>
      </c>
      <c r="Q25" s="20">
        <f t="shared" si="2"/>
        <v>198.00899198585157</v>
      </c>
      <c r="R25" s="59">
        <f t="shared" si="0"/>
        <v>491.34232531918485</v>
      </c>
      <c r="S25" s="59">
        <f ca="1">AVERAGE(OFFSET($R$3,0,0,'Données projet'!$E$9+1,1))-AVERAGE(OFFSET($H$3,0,0,'Données projet'!$E$9+1,1))</f>
        <v>379.12827535040157</v>
      </c>
      <c r="T25" s="59">
        <f t="shared" si="34"/>
        <v>317.29813413796956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6.8885012981510183</v>
      </c>
      <c r="AC25" s="22">
        <f t="shared" si="3"/>
        <v>6.8885012981510183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9">
        <f t="shared" si="5"/>
        <v>476.7249040511993</v>
      </c>
      <c r="AN25" s="59">
        <f ca="1">AVERAGE(OFFSET($AM$3,0,0,'Données projet'!$E$10+1,1))-AVERAGE(OFFSET($H$3,0,0,'Données projet'!$E$10+1,1))</f>
        <v>392.48436003609055</v>
      </c>
      <c r="AO25" s="59">
        <f t="shared" si="36"/>
        <v>236.3312446580419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8.8000000000000007</v>
      </c>
      <c r="BD25" s="12">
        <f>IF('Données projet'!$A$88&gt;35,BD24+BC25-BL24,IF(A25&lt;'Données projet'!$A$88,$BA$205^A25,IF(A25='Données projet'!$A$88,'Données projet'!$B$88,BD24+BC25-BL24)))</f>
        <v>49.599999999999994</v>
      </c>
      <c r="BE25" s="13">
        <f>BD25*VLOOKUP('Données projet'!$B$11,Paramètres!$A$1:$I$89,3,0)*VLOOKUP('Données projet'!$B$11,Paramètres!$A$1:$I$89,5,0)</f>
        <v>42.556799999999996</v>
      </c>
      <c r="BF25" s="13">
        <f t="shared" si="37"/>
        <v>12.673863978067095</v>
      </c>
      <c r="BG25" s="20">
        <f t="shared" si="7"/>
        <v>96.193406428466844</v>
      </c>
      <c r="BH25" s="59">
        <f t="shared" si="8"/>
        <v>389.52673976180017</v>
      </c>
      <c r="BI25" s="59">
        <f ca="1">AVERAGE(OFFSET($BH$3,0,0,'Données projet'!$E$11+1,1))-AVERAGE(OFFSET($H$3,0,0,'Données projet'!$E$11+1,1))</f>
        <v>352.61091660077574</v>
      </c>
      <c r="BJ25" s="59">
        <f t="shared" si="38"/>
        <v>186.48649111821521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26.4</v>
      </c>
      <c r="N26" s="13">
        <f>IF('Données projet'!$A$36&gt;35,N25+M26-V25,IF(A26&lt;'Données projet'!$A$36,$K$205^A26,IF(A26='Données projet'!$A$36,'Données projet'!$B$36,N25+M26-V25)))</f>
        <v>217.20000000000005</v>
      </c>
      <c r="O26" s="13">
        <f>N26*VLOOKUP('Données projet'!$B$9,Paramètres!$A$1:$I$89,3,0)*VLOOKUP('Données projet'!$B$9,Paramètres!$A$1:$I$89,5,0)</f>
        <v>101.64960000000001</v>
      </c>
      <c r="P26" s="13">
        <f t="shared" si="33"/>
        <v>27.354616995972222</v>
      </c>
      <c r="Q26" s="20">
        <f t="shared" si="2"/>
        <v>224.68234460131828</v>
      </c>
      <c r="R26" s="59">
        <f t="shared" si="0"/>
        <v>518.01567793465165</v>
      </c>
      <c r="S26" s="59">
        <f ca="1">AVERAGE(OFFSET($R$3,0,0,'Données projet'!$E$9+1,1))-AVERAGE(OFFSET($H$3,0,0,'Données projet'!$E$9+1,1))</f>
        <v>379.12827535040157</v>
      </c>
      <c r="T26" s="59">
        <f t="shared" si="34"/>
        <v>317.29813413796956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4.8709059801349213</v>
      </c>
      <c r="AC26" s="22">
        <f t="shared" si="3"/>
        <v>4.8709059801349213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9">
        <f t="shared" si="5"/>
        <v>492.52275027029503</v>
      </c>
      <c r="AN26" s="59">
        <f ca="1">AVERAGE(OFFSET($AM$3,0,0,'Données projet'!$E$10+1,1))-AVERAGE(OFFSET($H$3,0,0,'Données projet'!$E$10+1,1))</f>
        <v>392.48436003609055</v>
      </c>
      <c r="AO26" s="59">
        <f t="shared" si="36"/>
        <v>236.3312446580419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8.8000000000000007</v>
      </c>
      <c r="BD26" s="12">
        <f>IF('Données projet'!$A$88&gt;35,BD25+BC26-BL25,IF(A26&lt;'Données projet'!$A$88,$BA$205^A26,IF(A26='Données projet'!$A$88,'Données projet'!$B$88,BD25+BC26-BL25)))</f>
        <v>58.399999999999991</v>
      </c>
      <c r="BE26" s="13">
        <f>BD26*VLOOKUP('Données projet'!$B$11,Paramètres!$A$1:$I$89,3,0)*VLOOKUP('Données projet'!$B$11,Paramètres!$A$1:$I$89,5,0)</f>
        <v>50.107199999999999</v>
      </c>
      <c r="BF26" s="13">
        <f t="shared" si="37"/>
        <v>14.641441079141797</v>
      </c>
      <c r="BG26" s="20">
        <f t="shared" si="7"/>
        <v>112.77054987950528</v>
      </c>
      <c r="BH26" s="59">
        <f t="shared" si="8"/>
        <v>406.10388321283858</v>
      </c>
      <c r="BI26" s="59">
        <f ca="1">AVERAGE(OFFSET($BH$3,0,0,'Données projet'!$E$11+1,1))-AVERAGE(OFFSET($H$3,0,0,'Données projet'!$E$11+1,1))</f>
        <v>352.61091660077574</v>
      </c>
      <c r="BJ26" s="59">
        <f t="shared" si="38"/>
        <v>186.48649111821521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26.4</v>
      </c>
      <c r="N27" s="13">
        <f>IF('Données projet'!$A$36&gt;35,N26+M27-V26,IF(A27&lt;'Données projet'!$A$36,$K$205^A27,IF(A27='Données projet'!$A$36,'Données projet'!$B$36,N26+M27-V26)))</f>
        <v>243.60000000000005</v>
      </c>
      <c r="O27" s="13">
        <f>N27*VLOOKUP('Données projet'!$B$9,Paramètres!$A$1:$I$89,3,0)*VLOOKUP('Données projet'!$B$9,Paramètres!$A$1:$I$89,5,0)</f>
        <v>114.00480000000002</v>
      </c>
      <c r="P27" s="13">
        <f t="shared" si="33"/>
        <v>30.272573949217303</v>
      </c>
      <c r="Q27" s="20">
        <f t="shared" si="2"/>
        <v>251.28309296155351</v>
      </c>
      <c r="R27" s="59">
        <f t="shared" si="0"/>
        <v>544.61642629488688</v>
      </c>
      <c r="S27" s="59">
        <f ca="1">AVERAGE(OFFSET($R$3,0,0,'Données projet'!$E$9+1,1))-AVERAGE(OFFSET($H$3,0,0,'Données projet'!$E$9+1,1))</f>
        <v>379.12827535040157</v>
      </c>
      <c r="T27" s="59">
        <f t="shared" si="34"/>
        <v>317.29813413796956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3.4442506490755096</v>
      </c>
      <c r="AC27" s="22">
        <f t="shared" si="3"/>
        <v>3.4442506490755096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9">
        <f t="shared" si="5"/>
        <v>508.29154443507662</v>
      </c>
      <c r="AN27" s="59">
        <f ca="1">AVERAGE(OFFSET($AM$3,0,0,'Données projet'!$E$10+1,1))-AVERAGE(OFFSET($H$3,0,0,'Données projet'!$E$10+1,1))</f>
        <v>392.48436003609055</v>
      </c>
      <c r="AO27" s="59">
        <f t="shared" si="36"/>
        <v>236.3312446580419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8.8000000000000007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57.657599999999995</v>
      </c>
      <c r="BF27" s="13">
        <f t="shared" si="37"/>
        <v>16.574671209026025</v>
      </c>
      <c r="BG27" s="20">
        <f t="shared" si="7"/>
        <v>129.28787235572034</v>
      </c>
      <c r="BH27" s="59">
        <f t="shared" si="8"/>
        <v>422.62120568905368</v>
      </c>
      <c r="BI27" s="59">
        <f ca="1">AVERAGE(OFFSET($BH$3,0,0,'Données projet'!$E$11+1,1))-AVERAGE(OFFSET($H$3,0,0,'Données projet'!$E$11+1,1))</f>
        <v>352.61091660077574</v>
      </c>
      <c r="BJ27" s="59">
        <f t="shared" si="38"/>
        <v>186.48649111821521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270</v>
      </c>
      <c r="L28" s="12">
        <f>VLOOKUP(A28,'Données projet'!$A$35:$I$55,9,0)</f>
        <v>26.4</v>
      </c>
      <c r="M28" s="12">
        <f t="array" ref="M28">INDEX(L:L,MIN(IF(ISNUMBER(L28:L224),ROW(L28:L224),"")))</f>
        <v>26.4</v>
      </c>
      <c r="N28" s="13">
        <f>IF('Données projet'!$A$36&gt;35,N27+M28-V27,IF(A28&lt;'Données projet'!$A$36,$K$205^A28,IF(A28='Données projet'!$A$36,'Données projet'!$B$36,N27+M28-V27)))</f>
        <v>270.00000000000006</v>
      </c>
      <c r="O28" s="13">
        <f>N28*VLOOKUP('Données projet'!$B$9,Paramètres!$A$1:$I$89,3,0)*VLOOKUP('Données projet'!$B$9,Paramètres!$A$1:$I$89,5,0)</f>
        <v>126.36000000000003</v>
      </c>
      <c r="P28" s="13">
        <f t="shared" si="33"/>
        <v>33.153877056327453</v>
      </c>
      <c r="Q28" s="20">
        <f t="shared" si="2"/>
        <v>277.82000253977031</v>
      </c>
      <c r="R28" s="59">
        <f t="shared" si="0"/>
        <v>571.15333587310363</v>
      </c>
      <c r="S28" s="59">
        <f ca="1">AVERAGE(OFFSET($R$3,0,0,'Données projet'!$E$9+1,1))-AVERAGE(OFFSET($H$3,0,0,'Données projet'!$E$9+1,1))</f>
        <v>379.12827535040157</v>
      </c>
      <c r="T28" s="59">
        <f t="shared" si="34"/>
        <v>317.29813413796956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23.807926925703139</v>
      </c>
      <c r="AB28" s="21">
        <f>EXP(-LN(2)/2)*AB27+(1-EXP(-LN(2)/2))/(LN(2)/2)*V28*Y28*VLOOKUP('Données projet'!$B$9,Paramètres!$A$1:$I$89,3,0)*0.475*44/12</f>
        <v>2.4354529900674606</v>
      </c>
      <c r="AC28" s="22">
        <f t="shared" si="3"/>
        <v>26.2433799157706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9">
        <f t="shared" si="5"/>
        <v>524.0337182734097</v>
      </c>
      <c r="AN28" s="59">
        <f ca="1">AVERAGE(OFFSET($AM$3,0,0,'Données projet'!$E$10+1,1))-AVERAGE(OFFSET($H$3,0,0,'Données projet'!$E$10+1,1))</f>
        <v>392.48436003609055</v>
      </c>
      <c r="AO28" s="59">
        <f t="shared" si="36"/>
        <v>236.3312446580419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76</v>
      </c>
      <c r="BB28" s="12">
        <f>VLOOKUP(A28,'Données projet'!$A$87:$I$107,9,0)</f>
        <v>8.8000000000000007</v>
      </c>
      <c r="BC28" s="12">
        <f t="array" ref="BC28">INDEX(BB:BB,MIN(IF(ISNUMBER(BB28:BB224),ROW(BB28:BB224),"")))</f>
        <v>8.8000000000000007</v>
      </c>
      <c r="BD28" s="12">
        <f>IF('Données projet'!$A$88&gt;35,BD27+BC28-BL27,IF(A28&lt;'Données projet'!$A$88,$BA$205^A28,IF(A28='Données projet'!$A$88,'Données projet'!$B$88,BD27+BC28-BL27)))</f>
        <v>75.999999999999986</v>
      </c>
      <c r="BE28" s="13">
        <f>BD28*VLOOKUP('Données projet'!$B$11,Paramètres!$A$1:$I$89,3,0)*VLOOKUP('Données projet'!$B$11,Paramètres!$A$1:$I$89,5,0)</f>
        <v>65.207999999999998</v>
      </c>
      <c r="BF28" s="13">
        <f t="shared" si="37"/>
        <v>18.478568429485204</v>
      </c>
      <c r="BG28" s="20">
        <f t="shared" si="7"/>
        <v>145.75410668135339</v>
      </c>
      <c r="BH28" s="59">
        <f t="shared" si="8"/>
        <v>439.08744001468671</v>
      </c>
      <c r="BI28" s="59">
        <f ca="1">AVERAGE(OFFSET($BH$3,0,0,'Données projet'!$E$11+1,1))-AVERAGE(OFFSET($H$3,0,0,'Données projet'!$E$11+1,1))</f>
        <v>352.61091660077574</v>
      </c>
      <c r="BJ28" s="59">
        <f t="shared" si="38"/>
        <v>186.48649111821521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28.6</v>
      </c>
      <c r="N29" s="13">
        <f>IF('Données projet'!$A$36&gt;35,N28+M29-V28,IF(A29&lt;'Données projet'!$A$36,$K$205^A29,IF(A29='Données projet'!$A$36,'Données projet'!$B$36,N28+M29-V28)))</f>
        <v>228.60000000000008</v>
      </c>
      <c r="O29" s="13">
        <f>N29*VLOOKUP('Données projet'!$B$9,Paramètres!$A$1:$I$89,3,0)*VLOOKUP('Données projet'!$B$9,Paramètres!$A$1:$I$89,5,0)</f>
        <v>106.98480000000004</v>
      </c>
      <c r="P29" s="13">
        <f t="shared" si="33"/>
        <v>28.619434884739594</v>
      </c>
      <c r="Q29" s="20">
        <f t="shared" si="2"/>
        <v>236.17737575758818</v>
      </c>
      <c r="R29" s="59">
        <f t="shared" si="0"/>
        <v>529.51070909092152</v>
      </c>
      <c r="S29" s="59">
        <f ca="1">AVERAGE(OFFSET($R$3,0,0,'Données projet'!$E$9+1,1))-AVERAGE(OFFSET($H$3,0,0,'Données projet'!$E$9+1,1))</f>
        <v>379.12827535040157</v>
      </c>
      <c r="T29" s="59">
        <f t="shared" si="34"/>
        <v>317.29813413796956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23.156897911915323</v>
      </c>
      <c r="AB29" s="21">
        <f>EXP(-LN(2)/2)*AB28+(1-EXP(-LN(2)/2))/(LN(2)/2)*V29*Y29*VLOOKUP('Données projet'!$B$9,Paramètres!$A$1:$I$89,3,0)*0.475*44/12</f>
        <v>1.7221253245377548</v>
      </c>
      <c r="AC29" s="22">
        <f t="shared" si="3"/>
        <v>24.879023236453076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9">
        <f t="shared" si="5"/>
        <v>482.87213599936979</v>
      </c>
      <c r="AN29" s="59">
        <f ca="1">AVERAGE(OFFSET($AM$3,0,0,'Données projet'!$E$10+1,1))-AVERAGE(OFFSET($H$3,0,0,'Données projet'!$E$10+1,1))</f>
        <v>392.48436003609055</v>
      </c>
      <c r="AO29" s="59">
        <f t="shared" si="36"/>
        <v>236.3312446580419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9.4</v>
      </c>
      <c r="BD29" s="12">
        <f>IF('Données projet'!$A$88&gt;35,BD28+BC29-BL28,IF(A29&lt;'Données projet'!$A$88,$BA$205^A29,IF(A29='Données projet'!$A$88,'Données projet'!$B$88,BD28+BC29-BL28)))</f>
        <v>78.399999999999991</v>
      </c>
      <c r="BE29" s="13">
        <f>BD29*VLOOKUP('Données projet'!$B$11,Paramètres!$A$1:$I$89,3,0)*VLOOKUP('Données projet'!$B$11,Paramètres!$A$1:$I$89,5,0)</f>
        <v>67.267200000000003</v>
      </c>
      <c r="BF29" s="13">
        <f t="shared" si="37"/>
        <v>18.993242158132926</v>
      </c>
      <c r="BG29" s="20">
        <f t="shared" si="7"/>
        <v>150.23693675874819</v>
      </c>
      <c r="BH29" s="59">
        <f t="shared" si="8"/>
        <v>443.5702700920815</v>
      </c>
      <c r="BI29" s="59">
        <f ca="1">AVERAGE(OFFSET($BH$3,0,0,'Données projet'!$E$11+1,1))-AVERAGE(OFFSET($H$3,0,0,'Données projet'!$E$11+1,1))</f>
        <v>352.61091660077574</v>
      </c>
      <c r="BJ29" s="59">
        <f t="shared" si="38"/>
        <v>186.48649111821521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28.6</v>
      </c>
      <c r="N30" s="13">
        <f>IF('Données projet'!$A$36&gt;35,N29+M30-V29,IF(A30&lt;'Données projet'!$A$36,$K$205^A30,IF(A30='Données projet'!$A$36,'Données projet'!$B$36,N29+M30-V29)))</f>
        <v>257.2000000000001</v>
      </c>
      <c r="O30" s="13">
        <f>N30*VLOOKUP('Données projet'!$B$9,Paramètres!$A$1:$I$89,3,0)*VLOOKUP('Données projet'!$B$9,Paramètres!$A$1:$I$89,5,0)</f>
        <v>120.36960000000003</v>
      </c>
      <c r="P30" s="13">
        <f t="shared" si="33"/>
        <v>31.761186989855986</v>
      </c>
      <c r="Q30" s="20">
        <f t="shared" si="2"/>
        <v>264.96112067399923</v>
      </c>
      <c r="R30" s="59">
        <f t="shared" si="0"/>
        <v>558.29445400733255</v>
      </c>
      <c r="S30" s="59">
        <f ca="1">AVERAGE(OFFSET($R$3,0,0,'Données projet'!$E$9+1,1))-AVERAGE(OFFSET($H$3,0,0,'Données projet'!$E$9+1,1))</f>
        <v>379.12827535040157</v>
      </c>
      <c r="T30" s="59">
        <f t="shared" si="34"/>
        <v>317.29813413796956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22.523671320745663</v>
      </c>
      <c r="AB30" s="21">
        <f>EXP(-LN(2)/2)*AB29+(1-EXP(-LN(2)/2))/(LN(2)/2)*V30*Y30*VLOOKUP('Données projet'!$B$9,Paramètres!$A$1:$I$89,3,0)*0.475*44/12</f>
        <v>1.2177264950337303</v>
      </c>
      <c r="AC30" s="22">
        <f t="shared" si="3"/>
        <v>23.741397815779393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9">
        <f t="shared" si="5"/>
        <v>503.03834939764522</v>
      </c>
      <c r="AN30" s="59">
        <f ca="1">AVERAGE(OFFSET($AM$3,0,0,'Données projet'!$E$10+1,1))-AVERAGE(OFFSET($H$3,0,0,'Données projet'!$E$10+1,1))</f>
        <v>392.48436003609055</v>
      </c>
      <c r="AO30" s="59">
        <f t="shared" si="36"/>
        <v>236.3312446580419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9.4</v>
      </c>
      <c r="BD30" s="12">
        <f>IF('Données projet'!$A$88&gt;35,BD29+BC30-BL29,IF(A30&lt;'Données projet'!$A$88,$BA$205^A30,IF(A30='Données projet'!$A$88,'Données projet'!$B$88,BD29+BC30-BL29)))</f>
        <v>87.8</v>
      </c>
      <c r="BE30" s="13">
        <f>BD30*VLOOKUP('Données projet'!$B$11,Paramètres!$A$1:$I$89,3,0)*VLOOKUP('Données projet'!$B$11,Paramètres!$A$1:$I$89,5,0)</f>
        <v>75.332400000000007</v>
      </c>
      <c r="BF30" s="13">
        <f t="shared" si="37"/>
        <v>20.991969498724234</v>
      </c>
      <c r="BG30" s="20">
        <f t="shared" si="7"/>
        <v>167.76494354361137</v>
      </c>
      <c r="BH30" s="59">
        <f t="shared" si="8"/>
        <v>461.09827687694468</v>
      </c>
      <c r="BI30" s="59">
        <f ca="1">AVERAGE(OFFSET($BH$3,0,0,'Données projet'!$E$11+1,1))-AVERAGE(OFFSET($H$3,0,0,'Données projet'!$E$11+1,1))</f>
        <v>352.61091660077574</v>
      </c>
      <c r="BJ30" s="59">
        <f t="shared" si="38"/>
        <v>186.48649111821521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28.6</v>
      </c>
      <c r="N31" s="13">
        <f>IF('Données projet'!$A$36&gt;35,N30+M31-V30,IF(A31&lt;'Données projet'!$A$36,$K$205^A31,IF(A31='Données projet'!$A$36,'Données projet'!$B$36,N30+M31-V30)))</f>
        <v>285.80000000000013</v>
      </c>
      <c r="O31" s="13">
        <f>N31*VLOOKUP('Données projet'!$B$9,Paramètres!$A$1:$I$89,3,0)*VLOOKUP('Données projet'!$B$9,Paramètres!$A$1:$I$89,5,0)</f>
        <v>133.75440000000006</v>
      </c>
      <c r="P31" s="13">
        <f t="shared" si="33"/>
        <v>34.862448215374009</v>
      </c>
      <c r="Q31" s="20">
        <f t="shared" si="2"/>
        <v>293.67434397510982</v>
      </c>
      <c r="R31" s="59">
        <f t="shared" si="0"/>
        <v>587.00767730844314</v>
      </c>
      <c r="S31" s="59">
        <f ca="1">AVERAGE(OFFSET($R$3,0,0,'Données projet'!$E$9+1,1))-AVERAGE(OFFSET($H$3,0,0,'Données projet'!$E$9+1,1))</f>
        <v>379.12827535040157</v>
      </c>
      <c r="T31" s="59">
        <f t="shared" si="34"/>
        <v>317.29813413796956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21.907760344011479</v>
      </c>
      <c r="AB31" s="21">
        <f>EXP(-LN(2)/2)*AB30+(1-EXP(-LN(2)/2))/(LN(2)/2)*V31*Y31*VLOOKUP('Données projet'!$B$9,Paramètres!$A$1:$I$89,3,0)*0.475*44/12</f>
        <v>0.8610626622688774</v>
      </c>
      <c r="AC31" s="22">
        <f t="shared" si="3"/>
        <v>22.768823006280357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9">
        <f t="shared" si="5"/>
        <v>523.15981479287154</v>
      </c>
      <c r="AN31" s="59">
        <f ca="1">AVERAGE(OFFSET($AM$3,0,0,'Données projet'!$E$10+1,1))-AVERAGE(OFFSET($H$3,0,0,'Données projet'!$E$10+1,1))</f>
        <v>392.48436003609055</v>
      </c>
      <c r="AO31" s="59">
        <f t="shared" si="36"/>
        <v>236.3312446580419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9.4</v>
      </c>
      <c r="BD31" s="12">
        <f>IF('Données projet'!$A$88&gt;35,BD30+BC31-BL30,IF(A31&lt;'Données projet'!$A$88,$BA$205^A31,IF(A31='Données projet'!$A$88,'Données projet'!$B$88,BD30+BC31-BL30)))</f>
        <v>97.2</v>
      </c>
      <c r="BE31" s="13">
        <f>BD31*VLOOKUP('Données projet'!$B$11,Paramètres!$A$1:$I$89,3,0)*VLOOKUP('Données projet'!$B$11,Paramètres!$A$1:$I$89,5,0)</f>
        <v>83.397600000000011</v>
      </c>
      <c r="BF31" s="13">
        <f t="shared" si="37"/>
        <v>22.965893371329315</v>
      </c>
      <c r="BG31" s="20">
        <f t="shared" si="7"/>
        <v>185.24975095506522</v>
      </c>
      <c r="BH31" s="59">
        <f t="shared" si="8"/>
        <v>478.58308428839854</v>
      </c>
      <c r="BI31" s="59">
        <f ca="1">AVERAGE(OFFSET($BH$3,0,0,'Données projet'!$E$11+1,1))-AVERAGE(OFFSET($H$3,0,0,'Données projet'!$E$11+1,1))</f>
        <v>352.61091660077574</v>
      </c>
      <c r="BJ31" s="59">
        <f t="shared" si="38"/>
        <v>186.48649111821521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28.6</v>
      </c>
      <c r="N32" s="13">
        <f>IF('Données projet'!$A$36&gt;35,N31+M32-V31,IF(A32&lt;'Données projet'!$A$36,$K$205^A32,IF(A32='Données projet'!$A$36,'Données projet'!$B$36,N31+M32-V31)))</f>
        <v>314.40000000000015</v>
      </c>
      <c r="O32" s="13">
        <f>N32*VLOOKUP('Données projet'!$B$9,Paramètres!$A$1:$I$89,3,0)*VLOOKUP('Données projet'!$B$9,Paramètres!$A$1:$I$89,5,0)</f>
        <v>147.13920000000007</v>
      </c>
      <c r="P32" s="13">
        <f t="shared" si="33"/>
        <v>37.927731746477185</v>
      </c>
      <c r="Q32" s="20">
        <f t="shared" si="2"/>
        <v>322.32490612511452</v>
      </c>
      <c r="R32" s="59">
        <f t="shared" si="0"/>
        <v>615.65823945844784</v>
      </c>
      <c r="S32" s="59">
        <f ca="1">AVERAGE(OFFSET($R$3,0,0,'Données projet'!$E$9+1,1))-AVERAGE(OFFSET($H$3,0,0,'Données projet'!$E$9+1,1))</f>
        <v>379.12827535040157</v>
      </c>
      <c r="T32" s="59">
        <f t="shared" si="34"/>
        <v>317.29813413796956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21.30869148532544</v>
      </c>
      <c r="AB32" s="21">
        <f>EXP(-LN(2)/2)*AB31+(1-EXP(-LN(2)/2))/(LN(2)/2)*V32*Y32*VLOOKUP('Données projet'!$B$9,Paramètres!$A$1:$I$89,3,0)*0.475*44/12</f>
        <v>0.60886324751686516</v>
      </c>
      <c r="AC32" s="22">
        <f t="shared" si="3"/>
        <v>21.917554732842305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9">
        <f t="shared" si="5"/>
        <v>543.24100096888094</v>
      </c>
      <c r="AN32" s="59">
        <f ca="1">AVERAGE(OFFSET($AM$3,0,0,'Données projet'!$E$10+1,1))-AVERAGE(OFFSET($H$3,0,0,'Données projet'!$E$10+1,1))</f>
        <v>392.48436003609055</v>
      </c>
      <c r="AO32" s="59">
        <f t="shared" si="36"/>
        <v>236.3312446580419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9.4</v>
      </c>
      <c r="BD32" s="12">
        <f>IF('Données projet'!$A$88&gt;35,BD31+BC32-BL31,IF(A32&lt;'Données projet'!$A$88,$BA$205^A32,IF(A32='Données projet'!$A$88,'Données projet'!$B$88,BD31+BC32-BL31)))</f>
        <v>106.60000000000001</v>
      </c>
      <c r="BE32" s="13">
        <f>BD32*VLOOKUP('Données projet'!$B$11,Paramètres!$A$1:$I$89,3,0)*VLOOKUP('Données projet'!$B$11,Paramètres!$A$1:$I$89,5,0)</f>
        <v>91.462800000000016</v>
      </c>
      <c r="BF32" s="13">
        <f t="shared" si="37"/>
        <v>24.917685409456144</v>
      </c>
      <c r="BG32" s="20">
        <f t="shared" si="7"/>
        <v>202.69601208813614</v>
      </c>
      <c r="BH32" s="59">
        <f t="shared" si="8"/>
        <v>496.02934542146943</v>
      </c>
      <c r="BI32" s="59">
        <f ca="1">AVERAGE(OFFSET($BH$3,0,0,'Données projet'!$E$11+1,1))-AVERAGE(OFFSET($H$3,0,0,'Données projet'!$E$11+1,1))</f>
        <v>352.61091660077574</v>
      </c>
      <c r="BJ32" s="59">
        <f t="shared" si="38"/>
        <v>186.48649111821521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343</v>
      </c>
      <c r="L33" s="12">
        <f>VLOOKUP(A33,'Données projet'!$A$35:$I$55,9,0)</f>
        <v>28.6</v>
      </c>
      <c r="M33" s="12">
        <f t="array" ref="M33">INDEX(L:L,MIN(IF(ISNUMBER(L33:L229),ROW(L33:L229),"")))</f>
        <v>28.6</v>
      </c>
      <c r="N33" s="13">
        <f>IF('Données projet'!$A$36&gt;35,N32+M33-V32,IF(A33&lt;'Données projet'!$A$36,$K$205^A33,IF(A33='Données projet'!$A$36,'Données projet'!$B$36,N32+M33-V32)))</f>
        <v>343.00000000000017</v>
      </c>
      <c r="O33" s="13">
        <f>N33*VLOOKUP('Données projet'!$B$9,Paramètres!$A$1:$I$89,3,0)*VLOOKUP('Données projet'!$B$9,Paramètres!$A$1:$I$89,5,0)</f>
        <v>160.52400000000009</v>
      </c>
      <c r="P33" s="13">
        <f t="shared" si="33"/>
        <v>40.960682569221582</v>
      </c>
      <c r="Q33" s="20">
        <f t="shared" si="2"/>
        <v>350.91915547472769</v>
      </c>
      <c r="R33" s="59">
        <f t="shared" si="0"/>
        <v>644.252488808061</v>
      </c>
      <c r="S33" s="59">
        <f ca="1">AVERAGE(OFFSET($R$3,0,0,'Données projet'!$E$9+1,1))-AVERAGE(OFFSET($H$3,0,0,'Données projet'!$E$9+1,1))</f>
        <v>379.12827535040157</v>
      </c>
      <c r="T33" s="59">
        <f t="shared" si="34"/>
        <v>317.29813413796956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44.533931121786971</v>
      </c>
      <c r="AB33" s="21">
        <f>EXP(-LN(2)/2)*AB32+(1-EXP(-LN(2)/2))/(LN(2)/2)*V33*Y33*VLOOKUP('Données projet'!$B$9,Paramètres!$A$1:$I$89,3,0)*0.475*44/12</f>
        <v>0.4305313311344387</v>
      </c>
      <c r="AC33" s="22">
        <f t="shared" si="3"/>
        <v>44.96446245292141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9">
        <f t="shared" si="5"/>
        <v>563.28559932813334</v>
      </c>
      <c r="AN33" s="59">
        <f ca="1">AVERAGE(OFFSET($AM$3,0,0,'Données projet'!$E$10+1,1))-AVERAGE(OFFSET($H$3,0,0,'Données projet'!$E$10+1,1))</f>
        <v>392.48436003609055</v>
      </c>
      <c r="AO33" s="59">
        <f t="shared" si="36"/>
        <v>236.3312446580419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116</v>
      </c>
      <c r="BB33" s="12">
        <f>VLOOKUP(A33,'Données projet'!$A$87:$I$107,9,0)</f>
        <v>9.4</v>
      </c>
      <c r="BC33" s="12">
        <f t="array" ref="BC33">INDEX(BB:BB,MIN(IF(ISNUMBER(BB33:BB229),ROW(BB33:BB229),"")))</f>
        <v>9.4</v>
      </c>
      <c r="BD33" s="12">
        <f>IF('Données projet'!$A$88&gt;35,BD32+BC33-BL32,IF(A33&lt;'Données projet'!$A$88,$BA$205^A33,IF(A33='Données projet'!$A$88,'Données projet'!$B$88,BD32+BC33-BL32)))</f>
        <v>116.00000000000001</v>
      </c>
      <c r="BE33" s="13">
        <f>BD33*VLOOKUP('Données projet'!$B$11,Paramètres!$A$1:$I$89,3,0)*VLOOKUP('Données projet'!$B$11,Paramètres!$A$1:$I$89,5,0)</f>
        <v>99.52800000000002</v>
      </c>
      <c r="BF33" s="13">
        <f t="shared" si="37"/>
        <v>26.849519112903323</v>
      </c>
      <c r="BG33" s="20">
        <f t="shared" si="7"/>
        <v>220.10751245497332</v>
      </c>
      <c r="BH33" s="59">
        <f t="shared" si="8"/>
        <v>513.44084578830666</v>
      </c>
      <c r="BI33" s="59">
        <f ca="1">AVERAGE(OFFSET($BH$3,0,0,'Données projet'!$E$11+1,1))-AVERAGE(OFFSET($H$3,0,0,'Données projet'!$E$11+1,1))</f>
        <v>352.61091660077574</v>
      </c>
      <c r="BJ33" s="59">
        <f t="shared" si="38"/>
        <v>186.48649111821521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29</v>
      </c>
      <c r="N34" s="13">
        <f>IF('Données projet'!$A$36&gt;35,N33+M34-V33,IF(A34&lt;'Données projet'!$A$36,$K$205^A34,IF(A34='Données projet'!$A$36,'Données projet'!$B$36,N33+M34-V33)))</f>
        <v>302.00000000000017</v>
      </c>
      <c r="O34" s="13">
        <f>N34*VLOOKUP('Données projet'!$B$9,Paramètres!$A$1:$I$89,3,0)*VLOOKUP('Données projet'!$B$9,Paramètres!$A$1:$I$89,5,0)</f>
        <v>141.33600000000007</v>
      </c>
      <c r="P34" s="13">
        <f t="shared" si="33"/>
        <v>36.602894951566547</v>
      </c>
      <c r="Q34" s="20">
        <f t="shared" si="2"/>
        <v>309.91024204064519</v>
      </c>
      <c r="R34" s="59">
        <f t="shared" si="0"/>
        <v>603.2435753739785</v>
      </c>
      <c r="S34" s="59">
        <f ca="1">AVERAGE(OFFSET($R$3,0,0,'Données projet'!$E$9+1,1))-AVERAGE(OFFSET($H$3,0,0,'Données projet'!$E$9+1,1))</f>
        <v>379.12827535040157</v>
      </c>
      <c r="T34" s="59">
        <f t="shared" si="34"/>
        <v>317.29813413796956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43.316148433324052</v>
      </c>
      <c r="AB34" s="21">
        <f>EXP(-LN(2)/2)*AB33+(1-EXP(-LN(2)/2))/(LN(2)/2)*V34*Y34*VLOOKUP('Données projet'!$B$9,Paramètres!$A$1:$I$89,3,0)*0.475*44/12</f>
        <v>0.30443162375843258</v>
      </c>
      <c r="AC34" s="22">
        <f t="shared" si="3"/>
        <v>43.620580057082485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9">
        <f t="shared" si="5"/>
        <v>525.78129848492142</v>
      </c>
      <c r="AN34" s="59">
        <f ca="1">AVERAGE(OFFSET($AM$3,0,0,'Données projet'!$E$10+1,1))-AVERAGE(OFFSET($H$3,0,0,'Données projet'!$E$10+1,1))</f>
        <v>392.48436003609055</v>
      </c>
      <c r="AO34" s="59">
        <f t="shared" si="36"/>
        <v>236.3312446580419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98.200000000000017</v>
      </c>
      <c r="BE34" s="13">
        <f>BD34*VLOOKUP('Données projet'!$B$11,Paramètres!$A$1:$I$89,3,0)*VLOOKUP('Données projet'!$B$11,Paramètres!$A$1:$I$89,5,0)</f>
        <v>84.255600000000015</v>
      </c>
      <c r="BF34" s="13">
        <f t="shared" si="37"/>
        <v>23.174541098743855</v>
      </c>
      <c r="BG34" s="20">
        <f t="shared" si="7"/>
        <v>187.10749574697891</v>
      </c>
      <c r="BH34" s="59">
        <f t="shared" si="8"/>
        <v>480.44082908031226</v>
      </c>
      <c r="BI34" s="59">
        <f ca="1">AVERAGE(OFFSET($BH$3,0,0,'Données projet'!$E$11+1,1))-AVERAGE(OFFSET($H$3,0,0,'Données projet'!$E$11+1,1))</f>
        <v>352.61091660077574</v>
      </c>
      <c r="BJ34" s="59">
        <f t="shared" si="38"/>
        <v>186.48649111821521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29</v>
      </c>
      <c r="N35" s="13">
        <f>IF('Données projet'!$A$36&gt;35,N34+M35-V34,IF(A35&lt;'Données projet'!$A$36,$K$205^A35,IF(A35='Données projet'!$A$36,'Données projet'!$B$36,N34+M35-V34)))</f>
        <v>331.00000000000017</v>
      </c>
      <c r="O35" s="13">
        <f>N35*VLOOKUP('Données projet'!$B$9,Paramètres!$A$1:$I$89,3,0)*VLOOKUP('Données projet'!$B$9,Paramètres!$A$1:$I$89,5,0)</f>
        <v>154.90800000000007</v>
      </c>
      <c r="P35" s="13">
        <f t="shared" si="33"/>
        <v>39.691847670151908</v>
      </c>
      <c r="Q35" s="20">
        <f t="shared" ref="Q35:Q66" si="53">(O35+P35)*0.475*44/12</f>
        <v>338.92806802551468</v>
      </c>
      <c r="R35" s="59">
        <f t="shared" si="0"/>
        <v>632.26140135884793</v>
      </c>
      <c r="S35" s="59">
        <f ca="1">AVERAGE(OFFSET($R$3,0,0,'Données projet'!$E$9+1,1))-AVERAGE(OFFSET($H$3,0,0,'Données projet'!$E$9+1,1))</f>
        <v>379.12827535040157</v>
      </c>
      <c r="T35" s="59">
        <f t="shared" si="34"/>
        <v>317.29813413796956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42.131666076517561</v>
      </c>
      <c r="AB35" s="21">
        <f>EXP(-LN(2)/2)*AB34+(1-EXP(-LN(2)/2))/(LN(2)/2)*V35*Y35*VLOOKUP('Données projet'!$B$9,Paramètres!$A$1:$I$89,3,0)*0.475*44/12</f>
        <v>0.21526566556721935</v>
      </c>
      <c r="AC35" s="22">
        <f t="shared" si="3"/>
        <v>42.346931742084777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549.34525127096185</v>
      </c>
      <c r="AN35" s="59">
        <f ca="1">AVERAGE(OFFSET($AM$3,0,0,'Données projet'!$E$10+1,1))-AVERAGE(OFFSET($H$3,0,0,'Données projet'!$E$10+1,1))</f>
        <v>392.48436003609055</v>
      </c>
      <c r="AO35" s="59">
        <f t="shared" si="36"/>
        <v>236.3312446580419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108.40000000000002</v>
      </c>
      <c r="BE35" s="13">
        <f>BD35*VLOOKUP('Données projet'!$B$11,Paramètres!$A$1:$I$89,3,0)*VLOOKUP('Données projet'!$B$11,Paramètres!$A$1:$I$89,5,0)</f>
        <v>93.007200000000026</v>
      </c>
      <c r="BF35" s="13">
        <f t="shared" si="37"/>
        <v>25.289096064617418</v>
      </c>
      <c r="BG35" s="20">
        <f t="shared" si="7"/>
        <v>206.03271564587536</v>
      </c>
      <c r="BH35" s="59">
        <f t="shared" si="8"/>
        <v>499.3660489792087</v>
      </c>
      <c r="BI35" s="59">
        <f ca="1">AVERAGE(OFFSET($BH$3,0,0,'Données projet'!$E$11+1,1))-AVERAGE(OFFSET($H$3,0,0,'Données projet'!$E$11+1,1))</f>
        <v>352.61091660077574</v>
      </c>
      <c r="BJ35" s="59">
        <f t="shared" si="38"/>
        <v>186.48649111821521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29</v>
      </c>
      <c r="N36" s="13">
        <f>IF('Données projet'!$A$36&gt;35,N35+M36-V35,IF(A36&lt;'Données projet'!$A$36,$K$205^A36,IF(A36='Données projet'!$A$36,'Données projet'!$B$36,N35+M36-V35)))</f>
        <v>360.00000000000017</v>
      </c>
      <c r="O36" s="13">
        <f>N36*VLOOKUP('Données projet'!$B$9,Paramètres!$A$1:$I$89,3,0)*VLOOKUP('Données projet'!$B$9,Paramètres!$A$1:$I$89,5,0)</f>
        <v>168.48000000000008</v>
      </c>
      <c r="P36" s="13">
        <f t="shared" si="33"/>
        <v>42.749416405385382</v>
      </c>
      <c r="Q36" s="20">
        <f t="shared" si="53"/>
        <v>367.89123357271296</v>
      </c>
      <c r="R36" s="59">
        <f t="shared" si="0"/>
        <v>661.22456690604622</v>
      </c>
      <c r="S36" s="59">
        <f ca="1">AVERAGE(OFFSET($R$3,0,0,'Données projet'!$E$9+1,1))-AVERAGE(OFFSET($H$3,0,0,'Données projet'!$E$9+1,1))</f>
        <v>379.12827535040157</v>
      </c>
      <c r="T36" s="59">
        <f t="shared" si="34"/>
        <v>317.29813413796956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40.979573452047163</v>
      </c>
      <c r="AB36" s="21">
        <f>EXP(-LN(2)/2)*AB35+(1-EXP(-LN(2)/2))/(LN(2)/2)*V36*Y36*VLOOKUP('Données projet'!$B$9,Paramètres!$A$1:$I$89,3,0)*0.475*44/12</f>
        <v>0.15221581187921629</v>
      </c>
      <c r="AC36" s="22">
        <f t="shared" si="3"/>
        <v>41.131789263926379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572.86013627657894</v>
      </c>
      <c r="AN36" s="59">
        <f ca="1">AVERAGE(OFFSET($AM$3,0,0,'Données projet'!$E$10+1,1))-AVERAGE(OFFSET($H$3,0,0,'Données projet'!$E$10+1,1))</f>
        <v>392.48436003609055</v>
      </c>
      <c r="AO36" s="59">
        <f t="shared" si="36"/>
        <v>236.3312446580419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118.60000000000002</v>
      </c>
      <c r="BE36" s="13">
        <f>BD36*VLOOKUP('Données projet'!$B$11,Paramètres!$A$1:$I$89,3,0)*VLOOKUP('Données projet'!$B$11,Paramètres!$A$1:$I$89,5,0)</f>
        <v>101.75880000000004</v>
      </c>
      <c r="BF36" s="13">
        <f t="shared" si="37"/>
        <v>27.380581268956313</v>
      </c>
      <c r="BG36" s="20">
        <f t="shared" si="7"/>
        <v>224.91775571009896</v>
      </c>
      <c r="BH36" s="59">
        <f t="shared" si="8"/>
        <v>518.25108904343233</v>
      </c>
      <c r="BI36" s="59">
        <f ca="1">AVERAGE(OFFSET($BH$3,0,0,'Données projet'!$E$11+1,1))-AVERAGE(OFFSET($H$3,0,0,'Données projet'!$E$11+1,1))</f>
        <v>352.61091660077574</v>
      </c>
      <c r="BJ36" s="59">
        <f t="shared" si="38"/>
        <v>186.48649111821521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29</v>
      </c>
      <c r="N37" s="13">
        <f>IF('Données projet'!$A$36&gt;35,N36+M37-V36,IF(A37&lt;'Données projet'!$A$36,$K$205^A37,IF(A37='Données projet'!$A$36,'Données projet'!$B$36,N36+M37-V36)))</f>
        <v>389.00000000000017</v>
      </c>
      <c r="O37" s="13">
        <f>N37*VLOOKUP('Données projet'!$B$9,Paramètres!$A$1:$I$89,3,0)*VLOOKUP('Données projet'!$B$9,Paramètres!$A$1:$I$89,5,0)</f>
        <v>182.05200000000008</v>
      </c>
      <c r="P37" s="13">
        <f t="shared" si="33"/>
        <v>45.778416738029613</v>
      </c>
      <c r="Q37" s="20">
        <f t="shared" si="53"/>
        <v>396.8046424854017</v>
      </c>
      <c r="R37" s="59">
        <f t="shared" si="0"/>
        <v>690.13797581873496</v>
      </c>
      <c r="S37" s="59">
        <f ca="1">AVERAGE(OFFSET($R$3,0,0,'Données projet'!$E$9+1,1))-AVERAGE(OFFSET($H$3,0,0,'Données projet'!$E$9+1,1))</f>
        <v>379.12827535040157</v>
      </c>
      <c r="T37" s="59">
        <f t="shared" si="34"/>
        <v>317.29813413796956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39.858984860978822</v>
      </c>
      <c r="AB37" s="21">
        <f>EXP(-LN(2)/2)*AB36+(1-EXP(-LN(2)/2))/(LN(2)/2)*V37*Y37*VLOOKUP('Données projet'!$B$9,Paramètres!$A$1:$I$89,3,0)*0.475*44/12</f>
        <v>0.10763283278360967</v>
      </c>
      <c r="AC37" s="22">
        <f t="shared" si="3"/>
        <v>39.96661769376243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9">
        <f t="shared" si="5"/>
        <v>596.33065991794501</v>
      </c>
      <c r="AN37" s="59">
        <f ca="1">AVERAGE(OFFSET($AM$3,0,0,'Données projet'!$E$10+1,1))-AVERAGE(OFFSET($H$3,0,0,'Données projet'!$E$10+1,1))</f>
        <v>392.48436003609055</v>
      </c>
      <c r="AO37" s="59">
        <f t="shared" si="36"/>
        <v>236.3312446580419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128.80000000000001</v>
      </c>
      <c r="BE37" s="13">
        <f>BD37*VLOOKUP('Données projet'!$B$11,Paramètres!$A$1:$I$89,3,0)*VLOOKUP('Données projet'!$B$11,Paramètres!$A$1:$I$89,5,0)</f>
        <v>110.51040000000003</v>
      </c>
      <c r="BF37" s="13">
        <f t="shared" si="37"/>
        <v>29.451206375056412</v>
      </c>
      <c r="BG37" s="20">
        <f t="shared" si="7"/>
        <v>243.76646443655662</v>
      </c>
      <c r="BH37" s="59">
        <f t="shared" si="8"/>
        <v>537.09979776988996</v>
      </c>
      <c r="BI37" s="59">
        <f ca="1">AVERAGE(OFFSET($BH$3,0,0,'Données projet'!$E$11+1,1))-AVERAGE(OFFSET($H$3,0,0,'Données projet'!$E$11+1,1))</f>
        <v>352.61091660077574</v>
      </c>
      <c r="BJ37" s="59">
        <f t="shared" si="38"/>
        <v>186.48649111821521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418</v>
      </c>
      <c r="L38" s="12">
        <f>VLOOKUP(A38,'Données projet'!$A$35:$I$55,9,0)</f>
        <v>29</v>
      </c>
      <c r="M38" s="12">
        <f t="array" ref="M38">INDEX(L:L,MIN(IF(ISNUMBER(L38:L234),ROW(L38:L234),"")))</f>
        <v>29</v>
      </c>
      <c r="N38" s="13">
        <f>IF('Données projet'!$A$36&gt;35,N37+M38-V37,IF(A38&lt;'Données projet'!$A$36,$K$205^A38,IF(A38='Données projet'!$A$36,'Données projet'!$B$36,N37+M38-V37)))</f>
        <v>418.00000000000017</v>
      </c>
      <c r="O38" s="13">
        <f>N38*VLOOKUP('Données projet'!$B$9,Paramètres!$A$1:$I$89,3,0)*VLOOKUP('Données projet'!$B$9,Paramètres!$A$1:$I$89,5,0)</f>
        <v>195.62400000000008</v>
      </c>
      <c r="P38" s="13">
        <f t="shared" si="33"/>
        <v>48.781220625276006</v>
      </c>
      <c r="Q38" s="20">
        <f t="shared" si="53"/>
        <v>425.67242592235584</v>
      </c>
      <c r="R38" s="59">
        <f t="shared" si="0"/>
        <v>719.0057592556891</v>
      </c>
      <c r="S38" s="59">
        <f ca="1">AVERAGE(OFFSET($R$3,0,0,'Données projet'!$E$9+1,1))-AVERAGE(OFFSET($H$3,0,0,'Données projet'!$E$9+1,1))</f>
        <v>379.12827535040157</v>
      </c>
      <c r="T38" s="59">
        <f t="shared" si="34"/>
        <v>317.29813413796956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70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23.902038358109635</v>
      </c>
      <c r="AA38" s="21">
        <f>EXP(-LN(2)/25)*AA37+(1-EXP(-LN(2)/25))/(LN(2)/25)*Calculateur!V38*Calculateur!X38*VLOOKUP('Données projet'!$B$9,Paramètres!$A$1:$I$89,3,0)*0.475*44/12</f>
        <v>38.769038823862438</v>
      </c>
      <c r="AB38" s="21">
        <f>EXP(-LN(2)/2)*AB37+(1-EXP(-LN(2)/2))/(LN(2)/2)*V38*Y38*VLOOKUP('Données projet'!$B$9,Paramètres!$A$1:$I$89,3,0)*0.475*44/12</f>
        <v>7.6107905939608145E-2</v>
      </c>
      <c r="AC38" s="22">
        <f t="shared" si="3"/>
        <v>62.747185087911681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9">
        <f t="shared" si="5"/>
        <v>619.76073976419514</v>
      </c>
      <c r="AN38" s="59">
        <f ca="1">AVERAGE(OFFSET($AM$3,0,0,'Données projet'!$E$10+1,1))-AVERAGE(OFFSET($H$3,0,0,'Données projet'!$E$10+1,1))</f>
        <v>392.48436003609055</v>
      </c>
      <c r="AO38" s="59">
        <f t="shared" si="36"/>
        <v>236.3312446580419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13.496201456750795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13.496201456750795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139</v>
      </c>
      <c r="BB38" s="12">
        <f>VLOOKUP(A38,'Données projet'!$A$87:$I$107,9,0)</f>
        <v>10.199999999999999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139</v>
      </c>
      <c r="BE38" s="13">
        <f>BD38*VLOOKUP('Données projet'!$B$11,Paramètres!$A$1:$I$89,3,0)*VLOOKUP('Données projet'!$B$11,Paramètres!$A$1:$I$89,5,0)</f>
        <v>119.26200000000001</v>
      </c>
      <c r="BF38" s="13">
        <f t="shared" si="37"/>
        <v>31.502811162802828</v>
      </c>
      <c r="BG38" s="20">
        <f t="shared" si="7"/>
        <v>262.58204610854824</v>
      </c>
      <c r="BH38" s="59">
        <f t="shared" si="8"/>
        <v>555.91537944188156</v>
      </c>
      <c r="BI38" s="59">
        <f ca="1">AVERAGE(OFFSET($BH$3,0,0,'Données projet'!$E$11+1,1))-AVERAGE(OFFSET($H$3,0,0,'Données projet'!$E$11+1,1))</f>
        <v>352.61091660077574</v>
      </c>
      <c r="BJ38" s="59">
        <f t="shared" si="38"/>
        <v>186.48649111821521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14.075644810886788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14.075644810886788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27.8</v>
      </c>
      <c r="N39" s="13">
        <f>IF('Données projet'!$A$36&gt;35,N38+M39-V38,IF(A39&lt;'Données projet'!$A$36,$K$205^A39,IF(A39='Données projet'!$A$36,'Données projet'!$B$36,N38+M39-V38)))</f>
        <v>375.80000000000018</v>
      </c>
      <c r="O39" s="13">
        <f>N39*VLOOKUP('Données projet'!$B$9,Paramètres!$A$1:$I$89,3,0)*VLOOKUP('Données projet'!$B$9,Paramètres!$A$1:$I$89,5,0)</f>
        <v>175.87440000000009</v>
      </c>
      <c r="P39" s="13">
        <f t="shared" si="33"/>
        <v>44.403081217424962</v>
      </c>
      <c r="Q39" s="20">
        <f t="shared" si="53"/>
        <v>383.64994645368193</v>
      </c>
      <c r="R39" s="59">
        <f t="shared" si="0"/>
        <v>676.98327978701525</v>
      </c>
      <c r="S39" s="59">
        <f ca="1">AVERAGE(OFFSET($R$3,0,0,'Données projet'!$E$9+1,1))-AVERAGE(OFFSET($H$3,0,0,'Données projet'!$E$9+1,1))</f>
        <v>379.12827535040157</v>
      </c>
      <c r="T39" s="59">
        <f t="shared" si="34"/>
        <v>317.29813413796956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23.433333964710968</v>
      </c>
      <c r="AA39" s="21">
        <f>EXP(-LN(2)/25)*AA38+(1-EXP(-LN(2)/25))/(LN(2)/25)*Calculateur!V39*Calculateur!X39*VLOOKUP('Données projet'!$B$9,Paramètres!$A$1:$I$89,3,0)*0.475*44/12</f>
        <v>37.708897418448778</v>
      </c>
      <c r="AB39" s="21">
        <f>EXP(-LN(2)/2)*AB38+(1-EXP(-LN(2)/2))/(LN(2)/2)*V39*Y39*VLOOKUP('Données projet'!$B$9,Paramètres!$A$1:$I$89,3,0)*0.475*44/12</f>
        <v>5.3816416391804837E-2</v>
      </c>
      <c r="AC39" s="22">
        <f t="shared" si="3"/>
        <v>61.19604779955155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9">
        <f t="shared" si="5"/>
        <v>583.29670806273748</v>
      </c>
      <c r="AN39" s="59">
        <f ca="1">AVERAGE(OFFSET($AM$3,0,0,'Données projet'!$E$10+1,1))-AVERAGE(OFFSET($H$3,0,0,'Données projet'!$E$10+1,1))</f>
        <v>392.48436003609055</v>
      </c>
      <c r="AO39" s="59">
        <f t="shared" si="36"/>
        <v>236.3312446580419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13.231549178053971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13.231549178053971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10.4</v>
      </c>
      <c r="BD39" s="12">
        <f>IF('Données projet'!$A$88&gt;35,BD38+BC39-BL38,IF(A39&lt;'Données projet'!$A$88,$BA$205^A39,IF(A39='Données projet'!$A$88,'Données projet'!$B$88,BD38+BC39-BL38)))</f>
        <v>121.4</v>
      </c>
      <c r="BE39" s="13">
        <f>BD39*VLOOKUP('Données projet'!$B$11,Paramètres!$A$1:$I$89,3,0)*VLOOKUP('Données projet'!$B$11,Paramètres!$A$1:$I$89,5,0)</f>
        <v>104.16120000000002</v>
      </c>
      <c r="BF39" s="13">
        <f t="shared" si="37"/>
        <v>27.95098158074293</v>
      </c>
      <c r="BG39" s="20">
        <f t="shared" si="7"/>
        <v>230.09538291979393</v>
      </c>
      <c r="BH39" s="59">
        <f t="shared" si="8"/>
        <v>523.42871625312728</v>
      </c>
      <c r="BI39" s="59">
        <f ca="1">AVERAGE(OFFSET($BH$3,0,0,'Données projet'!$E$11+1,1))-AVERAGE(OFFSET($H$3,0,0,'Données projet'!$E$11+1,1))</f>
        <v>352.61091660077574</v>
      </c>
      <c r="BJ39" s="59">
        <f t="shared" si="38"/>
        <v>186.48649111821521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13.799630001440905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13.799630001440905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27.8</v>
      </c>
      <c r="N40" s="13">
        <f>IF('Données projet'!$A$36&gt;35,N39+M40-V39,IF(A40&lt;'Données projet'!$A$36,$K$205^A40,IF(A40='Données projet'!$A$36,'Données projet'!$B$36,N39+M40-V39)))</f>
        <v>403.60000000000019</v>
      </c>
      <c r="O40" s="13">
        <f>N40*VLOOKUP('Données projet'!$B$9,Paramètres!$A$1:$I$89,3,0)*VLOOKUP('Données projet'!$B$9,Paramètres!$A$1:$I$89,5,0)</f>
        <v>188.8848000000001</v>
      </c>
      <c r="P40" s="13">
        <f t="shared" si="33"/>
        <v>47.293313556558964</v>
      </c>
      <c r="Q40" s="20">
        <f t="shared" si="53"/>
        <v>411.34354777767368</v>
      </c>
      <c r="R40" s="59">
        <f t="shared" si="0"/>
        <v>704.67688111100699</v>
      </c>
      <c r="S40" s="59">
        <f ca="1">AVERAGE(OFFSET($R$3,0,0,'Données projet'!$E$9+1,1))-AVERAGE(OFFSET($H$3,0,0,'Données projet'!$E$9+1,1))</f>
        <v>379.12827535040157</v>
      </c>
      <c r="T40" s="59">
        <f t="shared" si="34"/>
        <v>317.29813413796956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22.973820578585396</v>
      </c>
      <c r="AA40" s="21">
        <f>EXP(-LN(2)/25)*AA39+(1-EXP(-LN(2)/25))/(LN(2)/25)*Calculateur!V40*Calculateur!X40*VLOOKUP('Données projet'!$B$9,Paramètres!$A$1:$I$89,3,0)*0.475*44/12</f>
        <v>36.677745635516565</v>
      </c>
      <c r="AB40" s="21">
        <f>EXP(-LN(2)/2)*AB39+(1-EXP(-LN(2)/2))/(LN(2)/2)*V40*Y40*VLOOKUP('Données projet'!$B$9,Paramètres!$A$1:$I$89,3,0)*0.475*44/12</f>
        <v>3.8053952969804072E-2</v>
      </c>
      <c r="AC40" s="22">
        <f t="shared" si="3"/>
        <v>59.689620167071766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9">
        <f t="shared" si="5"/>
        <v>607.61664148698628</v>
      </c>
      <c r="AN40" s="59">
        <f ca="1">AVERAGE(OFFSET($AM$3,0,0,'Données projet'!$E$10+1,1))-AVERAGE(OFFSET($H$3,0,0,'Données projet'!$E$10+1,1))</f>
        <v>392.48436003609055</v>
      </c>
      <c r="AO40" s="59">
        <f t="shared" si="36"/>
        <v>236.3312446580419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12.972086569120441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12.972086569120441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10.4</v>
      </c>
      <c r="BD40" s="12">
        <f>IF('Données projet'!$A$88&gt;35,BD39+BC40-BL39,IF(A40&lt;'Données projet'!$A$88,$BA$205^A40,IF(A40='Données projet'!$A$88,'Données projet'!$B$88,BD39+BC40-BL39)))</f>
        <v>131.80000000000001</v>
      </c>
      <c r="BE40" s="13">
        <f>BD40*VLOOKUP('Données projet'!$B$11,Paramètres!$A$1:$I$89,3,0)*VLOOKUP('Données projet'!$B$11,Paramètres!$A$1:$I$89,5,0)</f>
        <v>113.08440000000002</v>
      </c>
      <c r="BF40" s="13">
        <f t="shared" si="37"/>
        <v>30.05651952806824</v>
      </c>
      <c r="BG40" s="20">
        <f t="shared" si="7"/>
        <v>249.3037681780522</v>
      </c>
      <c r="BH40" s="59">
        <f t="shared" si="8"/>
        <v>542.63710151138548</v>
      </c>
      <c r="BI40" s="59">
        <f ca="1">AVERAGE(OFFSET($BH$3,0,0,'Données projet'!$E$11+1,1))-AVERAGE(OFFSET($H$3,0,0,'Données projet'!$E$11+1,1))</f>
        <v>352.61091660077574</v>
      </c>
      <c r="BJ40" s="59">
        <f t="shared" si="38"/>
        <v>186.48649111821521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13.529027674055845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13.529027674055845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27.8</v>
      </c>
      <c r="N41" s="13">
        <f>IF('Données projet'!$A$36&gt;35,N40+M41-V40,IF(A41&lt;'Données projet'!$A$36,$K$205^A41,IF(A41='Données projet'!$A$36,'Données projet'!$B$36,N40+M41-V40)))</f>
        <v>431.4000000000002</v>
      </c>
      <c r="O41" s="13">
        <f>N41*VLOOKUP('Données projet'!$B$9,Paramètres!$A$1:$I$89,3,0)*VLOOKUP('Données projet'!$B$9,Paramètres!$A$1:$I$89,5,0)</f>
        <v>201.89520000000007</v>
      </c>
      <c r="P41" s="13">
        <f t="shared" si="33"/>
        <v>50.160446424092498</v>
      </c>
      <c r="Q41" s="20">
        <f t="shared" si="53"/>
        <v>438.99691752196122</v>
      </c>
      <c r="R41" s="59">
        <f t="shared" si="0"/>
        <v>732.33025085529448</v>
      </c>
      <c r="S41" s="59">
        <f ca="1">AVERAGE(OFFSET($R$3,0,0,'Données projet'!$E$9+1,1))-AVERAGE(OFFSET($H$3,0,0,'Données projet'!$E$9+1,1))</f>
        <v>379.12827535040157</v>
      </c>
      <c r="T41" s="59">
        <f t="shared" si="34"/>
        <v>317.29813413796956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22.523317969686257</v>
      </c>
      <c r="AA41" s="21">
        <f>EXP(-LN(2)/25)*AA40+(1-EXP(-LN(2)/25))/(LN(2)/25)*Calculateur!V41*Calculateur!X41*VLOOKUP('Données projet'!$B$9,Paramètres!$A$1:$I$89,3,0)*0.475*44/12</f>
        <v>35.67479075231455</v>
      </c>
      <c r="AB41" s="21">
        <f>EXP(-LN(2)/2)*AB40+(1-EXP(-LN(2)/2))/(LN(2)/2)*V41*Y41*VLOOKUP('Données projet'!$B$9,Paramètres!$A$1:$I$89,3,0)*0.475*44/12</f>
        <v>2.6908208195902419E-2</v>
      </c>
      <c r="AC41" s="22">
        <f t="shared" si="3"/>
        <v>58.225016930196716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9">
        <f t="shared" si="5"/>
        <v>631.89486177431991</v>
      </c>
      <c r="AN41" s="59">
        <f ca="1">AVERAGE(OFFSET($AM$3,0,0,'Données projet'!$E$10+1,1))-AVERAGE(OFFSET($H$3,0,0,'Données projet'!$E$10+1,1))</f>
        <v>392.48436003609055</v>
      </c>
      <c r="AO41" s="59">
        <f t="shared" si="36"/>
        <v>236.3312446580419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12.717711863691532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12.717711863691532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10.4</v>
      </c>
      <c r="BD41" s="12">
        <f>IF('Données projet'!$A$88&gt;35,BD40+BC41-BL40,IF(A41&lt;'Données projet'!$A$88,$BA$205^A41,IF(A41='Données projet'!$A$88,'Données projet'!$B$88,BD40+BC41-BL40)))</f>
        <v>142.20000000000002</v>
      </c>
      <c r="BE41" s="13">
        <f>BD41*VLOOKUP('Données projet'!$B$11,Paramètres!$A$1:$I$89,3,0)*VLOOKUP('Données projet'!$B$11,Paramètres!$A$1:$I$89,5,0)</f>
        <v>122.00760000000004</v>
      </c>
      <c r="BF41" s="13">
        <f t="shared" si="37"/>
        <v>32.142785920703616</v>
      </c>
      <c r="BG41" s="20">
        <f t="shared" si="7"/>
        <v>268.47858881189217</v>
      </c>
      <c r="BH41" s="59">
        <f t="shared" si="8"/>
        <v>561.81192214522548</v>
      </c>
      <c r="BI41" s="59">
        <f ca="1">AVERAGE(OFFSET($BH$3,0,0,'Données projet'!$E$11+1,1))-AVERAGE(OFFSET($H$3,0,0,'Données projet'!$E$11+1,1))</f>
        <v>352.61091660077574</v>
      </c>
      <c r="BJ41" s="59">
        <f t="shared" si="38"/>
        <v>186.48649111821521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13.263731693259684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13.263731693259684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27.8</v>
      </c>
      <c r="N42" s="13">
        <f>IF('Données projet'!$A$36&gt;35,N41+M42-V41,IF(A42&lt;'Données projet'!$A$36,$K$205^A42,IF(A42='Données projet'!$A$36,'Données projet'!$B$36,N41+M42-V41)))</f>
        <v>459.20000000000022</v>
      </c>
      <c r="O42" s="13">
        <f>N42*VLOOKUP('Données projet'!$B$9,Paramètres!$A$1:$I$89,3,0)*VLOOKUP('Données projet'!$B$9,Paramètres!$A$1:$I$89,5,0)</f>
        <v>214.90560000000011</v>
      </c>
      <c r="P42" s="13">
        <f t="shared" si="33"/>
        <v>53.006137800892326</v>
      </c>
      <c r="Q42" s="20">
        <f t="shared" si="53"/>
        <v>466.61294333655428</v>
      </c>
      <c r="R42" s="59">
        <f t="shared" si="0"/>
        <v>759.94627666988754</v>
      </c>
      <c r="S42" s="59">
        <f ca="1">AVERAGE(OFFSET($R$3,0,0,'Données projet'!$E$9+1,1))-AVERAGE(OFFSET($H$3,0,0,'Données projet'!$E$9+1,1))</f>
        <v>379.12827535040157</v>
      </c>
      <c r="T42" s="59">
        <f t="shared" si="34"/>
        <v>317.29813413796956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22.081649442168171</v>
      </c>
      <c r="AA42" s="21">
        <f>EXP(-LN(2)/25)*AA41+(1-EXP(-LN(2)/25))/(LN(2)/25)*Calculateur!V42*Calculateur!X42*VLOOKUP('Données projet'!$B$9,Paramètres!$A$1:$I$89,3,0)*0.475*44/12</f>
        <v>34.6992617231368</v>
      </c>
      <c r="AB42" s="21">
        <f>EXP(-LN(2)/2)*AB41+(1-EXP(-LN(2)/2))/(LN(2)/2)*V42*Y42*VLOOKUP('Données projet'!$B$9,Paramètres!$A$1:$I$89,3,0)*0.475*44/12</f>
        <v>1.9026976484902036E-2</v>
      </c>
      <c r="AC42" s="22">
        <f t="shared" si="3"/>
        <v>56.799938141789873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9">
        <f t="shared" si="5"/>
        <v>656.13477859005559</v>
      </c>
      <c r="AN42" s="59">
        <f ca="1">AVERAGE(OFFSET($AM$3,0,0,'Données projet'!$E$10+1,1))-AVERAGE(OFFSET($H$3,0,0,'Données projet'!$E$10+1,1))</f>
        <v>392.48436003609055</v>
      </c>
      <c r="AO42" s="59">
        <f t="shared" si="36"/>
        <v>236.3312446580419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12.468325291082834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12.468325291082834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10.4</v>
      </c>
      <c r="BD42" s="12">
        <f>IF('Données projet'!$A$88&gt;35,BD41+BC42-BL41,IF(A42&lt;'Données projet'!$A$88,$BA$205^A42,IF(A42='Données projet'!$A$88,'Données projet'!$B$88,BD41+BC42-BL41)))</f>
        <v>152.60000000000002</v>
      </c>
      <c r="BE42" s="13">
        <f>BD42*VLOOKUP('Données projet'!$B$11,Paramètres!$A$1:$I$89,3,0)*VLOOKUP('Données projet'!$B$11,Paramètres!$A$1:$I$89,5,0)</f>
        <v>130.93080000000003</v>
      </c>
      <c r="BF42" s="13">
        <f t="shared" si="37"/>
        <v>34.211350494649842</v>
      </c>
      <c r="BG42" s="20">
        <f t="shared" si="7"/>
        <v>287.62257877818189</v>
      </c>
      <c r="BH42" s="59">
        <f t="shared" si="8"/>
        <v>580.9559121115152</v>
      </c>
      <c r="BI42" s="59">
        <f ca="1">AVERAGE(OFFSET($BH$3,0,0,'Données projet'!$E$11+1,1))-AVERAGE(OFFSET($H$3,0,0,'Données projet'!$E$11+1,1))</f>
        <v>352.61091660077574</v>
      </c>
      <c r="BJ42" s="59">
        <f t="shared" si="38"/>
        <v>186.48649111821521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13.003638004832366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13.003638004832366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487</v>
      </c>
      <c r="L43" s="12">
        <f>VLOOKUP(A43,'Données projet'!$A$35:$I$55,9,0)</f>
        <v>27.8</v>
      </c>
      <c r="M43" s="12">
        <f t="array" ref="M43">INDEX(L:L,MIN(IF(ISNUMBER(L43:L239),ROW(L43:L239),"")))</f>
        <v>27.8</v>
      </c>
      <c r="N43" s="13">
        <f>IF('Données projet'!$A$36&gt;35,N42+M43-V42,IF(A43&lt;'Données projet'!$A$36,$K$205^A43,IF(A43='Données projet'!$A$36,'Données projet'!$B$36,N42+M43-V42)))</f>
        <v>487.00000000000023</v>
      </c>
      <c r="O43" s="13">
        <f>N43*VLOOKUP('Données projet'!$B$9,Paramètres!$A$1:$I$89,3,0)*VLOOKUP('Données projet'!$B$9,Paramètres!$A$1:$I$89,5,0)</f>
        <v>227.91600000000011</v>
      </c>
      <c r="P43" s="13">
        <f t="shared" si="33"/>
        <v>55.831833576509553</v>
      </c>
      <c r="Q43" s="20">
        <f t="shared" si="53"/>
        <v>494.19414347908759</v>
      </c>
      <c r="R43" s="59">
        <f t="shared" si="0"/>
        <v>787.5274768124209</v>
      </c>
      <c r="S43" s="59">
        <f ca="1">AVERAGE(OFFSET($R$3,0,0,'Données projet'!$E$9+1,1))-AVERAGE(OFFSET($H$3,0,0,'Données projet'!$E$9+1,1))</f>
        <v>379.12827535040157</v>
      </c>
      <c r="T43" s="59">
        <f t="shared" si="34"/>
        <v>317.29813413796956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45.550680123193146</v>
      </c>
      <c r="AA43" s="21">
        <f>EXP(-LN(2)/25)*AA42+(1-EXP(-LN(2)/25))/(LN(2)/25)*Calculateur!V43*Calculateur!X43*VLOOKUP('Données projet'!$B$9,Paramètres!$A$1:$I$89,3,0)*0.475*44/12</f>
        <v>33.750408586562756</v>
      </c>
      <c r="AB43" s="21">
        <f>EXP(-LN(2)/2)*AB42+(1-EXP(-LN(2)/2))/(LN(2)/2)*V43*Y43*VLOOKUP('Données projet'!$B$9,Paramètres!$A$1:$I$89,3,0)*0.475*44/12</f>
        <v>1.3454104097951209E-2</v>
      </c>
      <c r="AC43" s="22">
        <f t="shared" si="3"/>
        <v>79.314542813853848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9">
        <f t="shared" si="5"/>
        <v>680.33930892746491</v>
      </c>
      <c r="AN43" s="59">
        <f ca="1">AVERAGE(OFFSET($AM$3,0,0,'Données projet'!$E$10+1,1))-AVERAGE(OFFSET($H$3,0,0,'Données projet'!$E$10+1,1))</f>
        <v>392.48436003609055</v>
      </c>
      <c r="AO43" s="59">
        <f t="shared" si="36"/>
        <v>236.3312446580419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25.720030493802998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25.720030493802998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163</v>
      </c>
      <c r="BB43" s="12">
        <f>VLOOKUP(A43,'Données projet'!$A$87:$I$107,9,0)</f>
        <v>10.4</v>
      </c>
      <c r="BC43" s="12">
        <f t="array" ref="BC43">INDEX(BB:BB,MIN(IF(ISNUMBER(BB43:BB239),ROW(BB43:BB239),"")))</f>
        <v>10.4</v>
      </c>
      <c r="BD43" s="12">
        <f>IF('Données projet'!$A$88&gt;35,BD42+BC43-BL42,IF(A43&lt;'Données projet'!$A$88,$BA$205^A43,IF(A43='Données projet'!$A$88,'Données projet'!$B$88,BD42+BC43-BL42)))</f>
        <v>163.00000000000003</v>
      </c>
      <c r="BE43" s="13">
        <f>BD43*VLOOKUP('Données projet'!$B$11,Paramètres!$A$1:$I$89,3,0)*VLOOKUP('Données projet'!$B$11,Paramètres!$A$1:$I$89,5,0)</f>
        <v>139.85400000000004</v>
      </c>
      <c r="BF43" s="13">
        <f t="shared" si="37"/>
        <v>36.263556914404674</v>
      </c>
      <c r="BG43" s="20">
        <f t="shared" si="7"/>
        <v>306.73807829258823</v>
      </c>
      <c r="BH43" s="59">
        <f t="shared" si="8"/>
        <v>600.07141162592154</v>
      </c>
      <c r="BI43" s="59">
        <f ca="1">AVERAGE(OFFSET($BH$3,0,0,'Données projet'!$E$11+1,1))-AVERAGE(OFFSET($H$3,0,0,'Données projet'!$E$11+1,1))</f>
        <v>352.61091660077574</v>
      </c>
      <c r="BJ43" s="59">
        <f t="shared" si="38"/>
        <v>186.48649111821521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26.82428940588041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26.82428940588041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26.2</v>
      </c>
      <c r="N44" s="13">
        <f>IF('Données projet'!$A$36&gt;35,N43+M44-V43,IF(A44&lt;'Données projet'!$A$36,$K$205^A44,IF(A44='Données projet'!$A$36,'Données projet'!$B$36,N43+M44-V43)))</f>
        <v>443.20000000000027</v>
      </c>
      <c r="O44" s="13">
        <f>N44*VLOOKUP('Données projet'!$B$9,Paramètres!$A$1:$I$89,3,0)*VLOOKUP('Données projet'!$B$9,Paramètres!$A$1:$I$89,5,0)</f>
        <v>207.41760000000014</v>
      </c>
      <c r="P44" s="13">
        <f t="shared" si="33"/>
        <v>51.370860585892309</v>
      </c>
      <c r="Q44" s="20">
        <f t="shared" si="53"/>
        <v>450.72323552042934</v>
      </c>
      <c r="R44" s="59">
        <f t="shared" si="0"/>
        <v>744.05656885376266</v>
      </c>
      <c r="S44" s="59">
        <f ca="1">AVERAGE(OFFSET($R$3,0,0,'Données projet'!$E$9+1,1))-AVERAGE(OFFSET($H$3,0,0,'Données projet'!$E$9+1,1))</f>
        <v>379.12827535040157</v>
      </c>
      <c r="T44" s="59">
        <f t="shared" si="34"/>
        <v>317.29813413796956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44.657459069148842</v>
      </c>
      <c r="AA44" s="21">
        <f>EXP(-LN(2)/25)*AA43+(1-EXP(-LN(2)/25))/(LN(2)/25)*Calculateur!V44*Calculateur!X44*VLOOKUP('Données projet'!$B$9,Paramètres!$A$1:$I$89,3,0)*0.475*44/12</f>
        <v>32.827501888906347</v>
      </c>
      <c r="AB44" s="21">
        <f>EXP(-LN(2)/2)*AB43+(1-EXP(-LN(2)/2))/(LN(2)/2)*V44*Y44*VLOOKUP('Données projet'!$B$9,Paramètres!$A$1:$I$89,3,0)*0.475*44/12</f>
        <v>9.5134882424510181E-3</v>
      </c>
      <c r="AC44" s="22">
        <f t="shared" si="3"/>
        <v>77.49447444629763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9">
        <f t="shared" si="5"/>
        <v>644.45226318566097</v>
      </c>
      <c r="AN44" s="59">
        <f ca="1">AVERAGE(OFFSET($AM$3,0,0,'Données projet'!$E$10+1,1))-AVERAGE(OFFSET($H$3,0,0,'Données projet'!$E$10+1,1))</f>
        <v>392.48436003609055</v>
      </c>
      <c r="AO44" s="59">
        <f t="shared" si="36"/>
        <v>236.3312446580419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25.215676383489093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25.215676383489093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146.00000000000003</v>
      </c>
      <c r="BE44" s="13">
        <f>BD44*VLOOKUP('Données projet'!$B$11,Paramètres!$A$1:$I$89,3,0)*VLOOKUP('Données projet'!$B$11,Paramètres!$A$1:$I$89,5,0)</f>
        <v>125.26800000000004</v>
      </c>
      <c r="BF44" s="13">
        <f t="shared" si="37"/>
        <v>32.9005846700787</v>
      </c>
      <c r="BG44" s="20">
        <f t="shared" si="7"/>
        <v>275.47695163372049</v>
      </c>
      <c r="BH44" s="59">
        <f t="shared" si="8"/>
        <v>568.8102849670538</v>
      </c>
      <c r="BI44" s="59">
        <f ca="1">AVERAGE(OFFSET($BH$3,0,0,'Données projet'!$E$11+1,1))-AVERAGE(OFFSET($H$3,0,0,'Données projet'!$E$11+1,1))</f>
        <v>352.61091660077574</v>
      </c>
      <c r="BJ44" s="59">
        <f t="shared" si="38"/>
        <v>186.48649111821521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26.2982814518321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26.2982814518321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26.2</v>
      </c>
      <c r="N45" s="13">
        <f>IF('Données projet'!$A$36&gt;35,N44+M45-V44,IF(A45&lt;'Données projet'!$A$36,$K$205^A45,IF(A45='Données projet'!$A$36,'Données projet'!$B$36,N44+M45-V44)))</f>
        <v>469.40000000000026</v>
      </c>
      <c r="O45" s="13">
        <f>N45*VLOOKUP('Données projet'!$B$9,Paramètres!$A$1:$I$89,3,0)*VLOOKUP('Données projet'!$B$9,Paramètres!$A$1:$I$89,5,0)</f>
        <v>219.67920000000012</v>
      </c>
      <c r="P45" s="13">
        <f t="shared" si="33"/>
        <v>54.045155505158426</v>
      </c>
      <c r="Q45" s="20">
        <f t="shared" si="53"/>
        <v>476.73658583815109</v>
      </c>
      <c r="R45" s="59">
        <f t="shared" si="0"/>
        <v>770.06991917148434</v>
      </c>
      <c r="S45" s="59">
        <f ca="1">AVERAGE(OFFSET($R$3,0,0,'Données projet'!$E$9+1,1))-AVERAGE(OFFSET($H$3,0,0,'Données projet'!$E$9+1,1))</f>
        <v>379.12827535040157</v>
      </c>
      <c r="T45" s="59">
        <f t="shared" si="34"/>
        <v>317.29813413796956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43.781753535163304</v>
      </c>
      <c r="AA45" s="21">
        <f>EXP(-LN(2)/25)*AA44+(1-EXP(-LN(2)/25))/(LN(2)/25)*Calculateur!V45*Calculateur!X45*VLOOKUP('Données projet'!$B$9,Paramètres!$A$1:$I$89,3,0)*0.475*44/12</f>
        <v>31.929832123430906</v>
      </c>
      <c r="AB45" s="21">
        <f>EXP(-LN(2)/2)*AB44+(1-EXP(-LN(2)/2))/(LN(2)/2)*V45*Y45*VLOOKUP('Données projet'!$B$9,Paramètres!$A$1:$I$89,3,0)*0.475*44/12</f>
        <v>6.7270520489756047E-3</v>
      </c>
      <c r="AC45" s="22">
        <f t="shared" si="3"/>
        <v>75.718312710643175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669.10572320317215</v>
      </c>
      <c r="AN45" s="59">
        <f ca="1">AVERAGE(OFFSET($AM$3,0,0,'Données projet'!$E$10+1,1))-AVERAGE(OFFSET($H$3,0,0,'Données projet'!$E$10+1,1))</f>
        <v>392.48436003609055</v>
      </c>
      <c r="AO45" s="59">
        <f t="shared" si="36"/>
        <v>236.3312446580419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24.721212349652813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24.721212349652813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157.00000000000003</v>
      </c>
      <c r="BE45" s="13">
        <f>BD45*VLOOKUP('Données projet'!$B$11,Paramètres!$A$1:$I$89,3,0)*VLOOKUP('Données projet'!$B$11,Paramètres!$A$1:$I$89,5,0)</f>
        <v>134.70600000000005</v>
      </c>
      <c r="BF45" s="13">
        <f t="shared" si="37"/>
        <v>35.081517028838505</v>
      </c>
      <c r="BG45" s="20">
        <f t="shared" si="7"/>
        <v>295.71325882522711</v>
      </c>
      <c r="BH45" s="59">
        <f t="shared" si="8"/>
        <v>589.04659215856043</v>
      </c>
      <c r="BI45" s="59">
        <f ca="1">AVERAGE(OFFSET($BH$3,0,0,'Données projet'!$E$11+1,1))-AVERAGE(OFFSET($H$3,0,0,'Données projet'!$E$11+1,1))</f>
        <v>352.61091660077574</v>
      </c>
      <c r="BJ45" s="59">
        <f t="shared" si="38"/>
        <v>186.48649111821521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25.782588192929502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25.782588192929502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26.2</v>
      </c>
      <c r="N46" s="13">
        <f>IF('Données projet'!$A$36&gt;35,N45+M46-V45,IF(A46&lt;'Données projet'!$A$36,$K$205^A46,IF(A46='Données projet'!$A$36,'Données projet'!$B$36,N45+M46-V45)))</f>
        <v>495.60000000000025</v>
      </c>
      <c r="O46" s="13">
        <f>N46*VLOOKUP('Données projet'!$B$9,Paramètres!$A$1:$I$89,3,0)*VLOOKUP('Données projet'!$B$9,Paramètres!$A$1:$I$89,5,0)</f>
        <v>231.94080000000011</v>
      </c>
      <c r="P46" s="13">
        <f t="shared" si="33"/>
        <v>56.702122420175506</v>
      </c>
      <c r="Q46" s="20">
        <f t="shared" si="53"/>
        <v>502.71975654847256</v>
      </c>
      <c r="R46" s="59">
        <f t="shared" si="0"/>
        <v>796.05308988180582</v>
      </c>
      <c r="S46" s="59">
        <f ca="1">AVERAGE(OFFSET($R$3,0,0,'Données projet'!$E$9+1,1))-AVERAGE(OFFSET($H$3,0,0,'Données projet'!$E$9+1,1))</f>
        <v>379.12827535040157</v>
      </c>
      <c r="T46" s="59">
        <f t="shared" si="34"/>
        <v>317.29813413796956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42.923220052571587</v>
      </c>
      <c r="AA46" s="21">
        <f>EXP(-LN(2)/25)*AA45+(1-EXP(-LN(2)/25))/(LN(2)/25)*Calculateur!V46*Calculateur!X46*VLOOKUP('Données projet'!$B$9,Paramètres!$A$1:$I$89,3,0)*0.475*44/12</f>
        <v>31.056709184898793</v>
      </c>
      <c r="AB46" s="21">
        <f>EXP(-LN(2)/2)*AB45+(1-EXP(-LN(2)/2))/(LN(2)/2)*V46*Y46*VLOOKUP('Données projet'!$B$9,Paramètres!$A$1:$I$89,3,0)*0.475*44/12</f>
        <v>4.756744121225509E-3</v>
      </c>
      <c r="AC46" s="22">
        <f t="shared" si="3"/>
        <v>73.984685981591596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693.72396607035341</v>
      </c>
      <c r="AN46" s="59">
        <f ca="1">AVERAGE(OFFSET($AM$3,0,0,'Données projet'!$E$10+1,1))-AVERAGE(OFFSET($H$3,0,0,'Données projet'!$E$10+1,1))</f>
        <v>392.48436003609055</v>
      </c>
      <c r="AO46" s="59">
        <f t="shared" si="36"/>
        <v>236.3312446580419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24.236444453926783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24.236444453926783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168.00000000000003</v>
      </c>
      <c r="BE46" s="13">
        <f>BD46*VLOOKUP('Données projet'!$B$11,Paramètres!$A$1:$I$89,3,0)*VLOOKUP('Données projet'!$B$11,Paramètres!$A$1:$I$89,5,0)</f>
        <v>144.14400000000003</v>
      </c>
      <c r="BF46" s="13">
        <f t="shared" si="37"/>
        <v>37.244720006976252</v>
      </c>
      <c r="BG46" s="20">
        <f t="shared" si="7"/>
        <v>315.9186873454837</v>
      </c>
      <c r="BH46" s="59">
        <f t="shared" si="8"/>
        <v>609.25202067881696</v>
      </c>
      <c r="BI46" s="59">
        <f ca="1">AVERAGE(OFFSET($BH$3,0,0,'Données projet'!$E$11+1,1))-AVERAGE(OFFSET($H$3,0,0,'Données projet'!$E$11+1,1))</f>
        <v>352.61091660077574</v>
      </c>
      <c r="BJ46" s="59">
        <f t="shared" si="38"/>
        <v>186.48649111821521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25.277007364292157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25.277007364292157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26.2</v>
      </c>
      <c r="N47" s="13">
        <f>IF('Données projet'!$A$36&gt;35,N46+M47-V46,IF(A47&lt;'Données projet'!$A$36,$K$205^A47,IF(A47='Données projet'!$A$36,'Données projet'!$B$36,N46+M47-V46)))</f>
        <v>521.8000000000003</v>
      </c>
      <c r="O47" s="13">
        <f>N47*VLOOKUP('Données projet'!$B$9,Paramètres!$A$1:$I$89,3,0)*VLOOKUP('Données projet'!$B$9,Paramètres!$A$1:$I$89,5,0)</f>
        <v>244.20240000000013</v>
      </c>
      <c r="P47" s="13">
        <f t="shared" si="33"/>
        <v>59.342781842608709</v>
      </c>
      <c r="Q47" s="20">
        <f t="shared" si="53"/>
        <v>528.67452504254368</v>
      </c>
      <c r="R47" s="59">
        <f t="shared" si="0"/>
        <v>822.00785837587705</v>
      </c>
      <c r="S47" s="59">
        <f ca="1">AVERAGE(OFFSET($R$3,0,0,'Données projet'!$E$9+1,1))-AVERAGE(OFFSET($H$3,0,0,'Données projet'!$E$9+1,1))</f>
        <v>379.12827535040157</v>
      </c>
      <c r="T47" s="59">
        <f t="shared" si="34"/>
        <v>317.29813413796956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42.08152188791977</v>
      </c>
      <c r="AA47" s="21">
        <f>EXP(-LN(2)/25)*AA46+(1-EXP(-LN(2)/25))/(LN(2)/25)*Calculateur!V47*Calculateur!X47*VLOOKUP('Données projet'!$B$9,Paramètres!$A$1:$I$89,3,0)*0.475*44/12</f>
        <v>30.20746183903638</v>
      </c>
      <c r="AB47" s="21">
        <f>EXP(-LN(2)/2)*AB46+(1-EXP(-LN(2)/2))/(LN(2)/2)*V47*Y47*VLOOKUP('Données projet'!$B$9,Paramètres!$A$1:$I$89,3,0)*0.475*44/12</f>
        <v>3.3635260244878023E-3</v>
      </c>
      <c r="AC47" s="22">
        <f t="shared" si="3"/>
        <v>72.292347252980633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9">
        <f t="shared" si="5"/>
        <v>718.3094596593628</v>
      </c>
      <c r="AN47" s="59">
        <f ca="1">AVERAGE(OFFSET($AM$3,0,0,'Données projet'!$E$10+1,1))-AVERAGE(OFFSET($H$3,0,0,'Données projet'!$E$10+1,1))</f>
        <v>392.48436003609055</v>
      </c>
      <c r="AO47" s="59">
        <f t="shared" si="36"/>
        <v>236.3312446580419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23.761182560956719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23.761182560956719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179.00000000000003</v>
      </c>
      <c r="BE47" s="13">
        <f>BD47*VLOOKUP('Données projet'!$B$11,Paramètres!$A$1:$I$89,3,0)*VLOOKUP('Données projet'!$B$11,Paramètres!$A$1:$I$89,5,0)</f>
        <v>153.58200000000002</v>
      </c>
      <c r="BF47" s="13">
        <f t="shared" si="37"/>
        <v>39.391486561628568</v>
      </c>
      <c r="BG47" s="20">
        <f t="shared" si="7"/>
        <v>336.09548909483647</v>
      </c>
      <c r="BH47" s="59">
        <f t="shared" si="8"/>
        <v>629.42882242816972</v>
      </c>
      <c r="BI47" s="59">
        <f ca="1">AVERAGE(OFFSET($BH$3,0,0,'Données projet'!$E$11+1,1))-AVERAGE(OFFSET($H$3,0,0,'Données projet'!$E$11+1,1))</f>
        <v>352.61091660077574</v>
      </c>
      <c r="BJ47" s="59">
        <f t="shared" si="38"/>
        <v>186.48649111821521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24.781340667330532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24.781340667330532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548</v>
      </c>
      <c r="L48" s="12">
        <f>VLOOKUP(A48,'Données projet'!$A$35:$I$55,9,0)</f>
        <v>26.2</v>
      </c>
      <c r="M48" s="12">
        <f t="array" ref="M48">INDEX(L:L,MIN(IF(ISNUMBER(L48:L244),ROW(L48:L244),"")))</f>
        <v>26.2</v>
      </c>
      <c r="N48" s="13">
        <f>IF('Données projet'!$A$36&gt;35,N47+M48-V47,IF(A48&lt;'Données projet'!$A$36,$K$205^A48,IF(A48='Données projet'!$A$36,'Données projet'!$B$36,N47+M48-V47)))</f>
        <v>548.00000000000034</v>
      </c>
      <c r="O48" s="13">
        <f>N48*VLOOKUP('Données projet'!$B$9,Paramètres!$A$1:$I$89,3,0)*VLOOKUP('Données projet'!$B$9,Paramètres!$A$1:$I$89,5,0)</f>
        <v>256.46400000000017</v>
      </c>
      <c r="P48" s="13">
        <f t="shared" si="33"/>
        <v>61.968046013679235</v>
      </c>
      <c r="Q48" s="20">
        <f t="shared" si="53"/>
        <v>554.60248014049159</v>
      </c>
      <c r="R48" s="59">
        <f t="shared" si="0"/>
        <v>847.93581347382496</v>
      </c>
      <c r="S48" s="59">
        <f ca="1">AVERAGE(OFFSET($R$3,0,0,'Données projet'!$E$9+1,1))-AVERAGE(OFFSET($H$3,0,0,'Données projet'!$E$9+1,1))</f>
        <v>379.12827535040157</v>
      </c>
      <c r="T48" s="59">
        <f t="shared" si="34"/>
        <v>317.29813413796956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70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65.158367269001218</v>
      </c>
      <c r="AA48" s="21">
        <f>EXP(-LN(2)/25)*AA47+(1-EXP(-LN(2)/25))/(LN(2)/25)*Calculateur!V48*Calculateur!X48*VLOOKUP('Données projet'!$B$9,Paramètres!$A$1:$I$89,3,0)*0.475*44/12</f>
        <v>29.381437206506554</v>
      </c>
      <c r="AB48" s="21">
        <f>EXP(-LN(2)/2)*AB47+(1-EXP(-LN(2)/2))/(LN(2)/2)*V48*Y48*VLOOKUP('Données projet'!$B$9,Paramètres!$A$1:$I$89,3,0)*0.475*44/12</f>
        <v>2.3783720606127545E-3</v>
      </c>
      <c r="AC48" s="22">
        <f t="shared" si="3"/>
        <v>94.542182847568384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9">
        <f t="shared" si="5"/>
        <v>742.86436319127711</v>
      </c>
      <c r="AN48" s="59">
        <f ca="1">AVERAGE(OFFSET($AM$3,0,0,'Données projet'!$E$10+1,1))-AVERAGE(OFFSET($H$3,0,0,'Données projet'!$E$10+1,1))</f>
        <v>392.48436003609055</v>
      </c>
      <c r="AO48" s="59">
        <f t="shared" si="36"/>
        <v>236.3312446580419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36.79144172057746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36.79144172057746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190</v>
      </c>
      <c r="BB48" s="12">
        <f>VLOOKUP(A48,'Données projet'!$A$87:$I$107,9,0)</f>
        <v>11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190.00000000000003</v>
      </c>
      <c r="BE48" s="13">
        <f>BD48*VLOOKUP('Données projet'!$B$11,Paramètres!$A$1:$I$89,3,0)*VLOOKUP('Données projet'!$B$11,Paramètres!$A$1:$I$89,5,0)</f>
        <v>163.02000000000004</v>
      </c>
      <c r="BF48" s="13">
        <f t="shared" si="37"/>
        <v>41.52294175893757</v>
      </c>
      <c r="BG48" s="20">
        <f t="shared" si="7"/>
        <v>356.24562356348298</v>
      </c>
      <c r="BH48" s="59">
        <f t="shared" si="8"/>
        <v>649.57895689681629</v>
      </c>
      <c r="BI48" s="59">
        <f ca="1">AVERAGE(OFFSET($BH$3,0,0,'Données projet'!$E$11+1,1))-AVERAGE(OFFSET($H$3,0,0,'Données projet'!$E$11+1,1))</f>
        <v>352.61091660077574</v>
      </c>
      <c r="BJ48" s="59">
        <f t="shared" si="38"/>
        <v>186.48649111821521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38.37103850285628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38.37103850285628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24.6</v>
      </c>
      <c r="N49" s="13">
        <f>IF('Données projet'!$A$36&gt;35,N48+M49-V48,IF(A49&lt;'Données projet'!$A$36,$K$205^A49,IF(A49='Données projet'!$A$36,'Données projet'!$B$36,N48+M49-V48)))</f>
        <v>502.60000000000036</v>
      </c>
      <c r="O49" s="13">
        <f>N49*VLOOKUP('Données projet'!$B$9,Paramètres!$A$1:$I$89,3,0)*VLOOKUP('Données projet'!$B$9,Paramètres!$A$1:$I$89,5,0)</f>
        <v>235.21680000000018</v>
      </c>
      <c r="P49" s="13">
        <f t="shared" si="33"/>
        <v>57.409199040294112</v>
      </c>
      <c r="Q49" s="20">
        <f t="shared" si="53"/>
        <v>509.6569483285125</v>
      </c>
      <c r="R49" s="59">
        <f t="shared" si="0"/>
        <v>802.99028166184576</v>
      </c>
      <c r="S49" s="59">
        <f ca="1">AVERAGE(OFFSET($R$3,0,0,'Données projet'!$E$9+1,1))-AVERAGE(OFFSET($H$3,0,0,'Données projet'!$E$9+1,1))</f>
        <v>379.12827535040157</v>
      </c>
      <c r="T49" s="59">
        <f t="shared" si="34"/>
        <v>317.29813413796956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63.880651429535874</v>
      </c>
      <c r="AA49" s="21">
        <f>EXP(-LN(2)/25)*AA48+(1-EXP(-LN(2)/25))/(LN(2)/25)*Calculateur!V49*Calculateur!X49*VLOOKUP('Données projet'!$B$9,Paramètres!$A$1:$I$89,3,0)*0.475*44/12</f>
        <v>28.578000260992003</v>
      </c>
      <c r="AB49" s="21">
        <f>EXP(-LN(2)/2)*AB48+(1-EXP(-LN(2)/2))/(LN(2)/2)*V49*Y49*VLOOKUP('Données projet'!$B$9,Paramètres!$A$1:$I$89,3,0)*0.475*44/12</f>
        <v>1.6817630122439012E-3</v>
      </c>
      <c r="AC49" s="22">
        <f t="shared" si="3"/>
        <v>92.460333453540116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9">
        <f t="shared" si="5"/>
        <v>706.23632525600931</v>
      </c>
      <c r="AN49" s="59">
        <f ca="1">AVERAGE(OFFSET($AM$3,0,0,'Données projet'!$E$10+1,1))-AVERAGE(OFFSET($H$3,0,0,'Données projet'!$E$10+1,1))</f>
        <v>392.48436003609055</v>
      </c>
      <c r="AO49" s="59">
        <f t="shared" si="36"/>
        <v>236.3312446580419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36.069983989000562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36.069983989000562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173.00000000000003</v>
      </c>
      <c r="BE49" s="13">
        <f>BD49*VLOOKUP('Données projet'!$B$11,Paramètres!$A$1:$I$89,3,0)*VLOOKUP('Données projet'!$B$11,Paramètres!$A$1:$I$89,5,0)</f>
        <v>148.43400000000003</v>
      </c>
      <c r="BF49" s="13">
        <f t="shared" si="37"/>
        <v>38.222489421716382</v>
      </c>
      <c r="BG49" s="20">
        <f t="shared" si="7"/>
        <v>325.0933857428227</v>
      </c>
      <c r="BH49" s="59">
        <f t="shared" si="8"/>
        <v>618.42671907615602</v>
      </c>
      <c r="BI49" s="59">
        <f ca="1">AVERAGE(OFFSET($BH$3,0,0,'Données projet'!$E$11+1,1))-AVERAGE(OFFSET($H$3,0,0,'Données projet'!$E$11+1,1))</f>
        <v>352.61091660077574</v>
      </c>
      <c r="BJ49" s="59">
        <f t="shared" si="38"/>
        <v>186.48649111821521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37.618605841837798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37.618605841837798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24.6</v>
      </c>
      <c r="N50" s="13">
        <f>IF('Données projet'!$A$36&gt;35,N49+M50-V49,IF(A50&lt;'Données projet'!$A$36,$K$205^A50,IF(A50='Données projet'!$A$36,'Données projet'!$B$36,N49+M50-V49)))</f>
        <v>527.20000000000039</v>
      </c>
      <c r="O50" s="13">
        <f>N50*VLOOKUP('Données projet'!$B$9,Paramètres!$A$1:$I$89,3,0)*VLOOKUP('Données projet'!$B$9,Paramètres!$A$1:$I$89,5,0)</f>
        <v>246.7296000000002</v>
      </c>
      <c r="P50" s="13">
        <f t="shared" si="33"/>
        <v>59.885098122247328</v>
      </c>
      <c r="Q50" s="20">
        <f t="shared" si="53"/>
        <v>534.02059922958108</v>
      </c>
      <c r="R50" s="59">
        <f t="shared" si="0"/>
        <v>827.35393256291445</v>
      </c>
      <c r="S50" s="59">
        <f ca="1">AVERAGE(OFFSET($R$3,0,0,'Données projet'!$E$9+1,1))-AVERAGE(OFFSET($H$3,0,0,'Données projet'!$E$9+1,1))</f>
        <v>379.12827535040157</v>
      </c>
      <c r="T50" s="59">
        <f t="shared" si="34"/>
        <v>317.29813413796956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62.627990818352735</v>
      </c>
      <c r="AA50" s="21">
        <f>EXP(-LN(2)/25)*AA49+(1-EXP(-LN(2)/25))/(LN(2)/25)*Calculateur!V50*Calculateur!X50*VLOOKUP('Données projet'!$B$9,Paramètres!$A$1:$I$89,3,0)*0.475*44/12</f>
        <v>27.796533341003457</v>
      </c>
      <c r="AB50" s="21">
        <f>EXP(-LN(2)/2)*AB49+(1-EXP(-LN(2)/2))/(LN(2)/2)*V50*Y50*VLOOKUP('Données projet'!$B$9,Paramètres!$A$1:$I$89,3,0)*0.475*44/12</f>
        <v>1.1891860303063773E-3</v>
      </c>
      <c r="AC50" s="22">
        <f t="shared" si="3"/>
        <v>90.425713345386498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729.9444208906632</v>
      </c>
      <c r="AN50" s="59">
        <f ca="1">AVERAGE(OFFSET($AM$3,0,0,'Données projet'!$E$10+1,1))-AVERAGE(OFFSET($H$3,0,0,'Données projet'!$E$10+1,1))</f>
        <v>392.48436003609055</v>
      </c>
      <c r="AO50" s="59">
        <f t="shared" si="36"/>
        <v>236.3312446580419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35.362673603494123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35.362673603494123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184.00000000000003</v>
      </c>
      <c r="BE50" s="13">
        <f>BD50*VLOOKUP('Données projet'!$B$11,Paramètres!$A$1:$I$89,3,0)*VLOOKUP('Données projet'!$B$11,Paramètres!$A$1:$I$89,5,0)</f>
        <v>157.87200000000004</v>
      </c>
      <c r="BF50" s="13">
        <f t="shared" si="37"/>
        <v>40.362165684361159</v>
      </c>
      <c r="BG50" s="20">
        <f t="shared" si="7"/>
        <v>345.25783856692902</v>
      </c>
      <c r="BH50" s="59">
        <f t="shared" si="8"/>
        <v>638.59117190026234</v>
      </c>
      <c r="BI50" s="59">
        <f ca="1">AVERAGE(OFFSET($BH$3,0,0,'Données projet'!$E$11+1,1))-AVERAGE(OFFSET($H$3,0,0,'Données projet'!$E$11+1,1))</f>
        <v>352.61091660077574</v>
      </c>
      <c r="BJ50" s="59">
        <f t="shared" si="38"/>
        <v>186.48649111821521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36.880927926363285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36.880927926363285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24.6</v>
      </c>
      <c r="N51" s="13">
        <f>IF('Données projet'!$A$36&gt;35,N50+M51-V50,IF(A51&lt;'Données projet'!$A$36,$K$205^A51,IF(A51='Données projet'!$A$36,'Données projet'!$B$36,N50+M51-V50)))</f>
        <v>551.80000000000041</v>
      </c>
      <c r="O51" s="13">
        <f>N51*VLOOKUP('Données projet'!$B$9,Paramètres!$A$1:$I$89,3,0)*VLOOKUP('Données projet'!$B$9,Paramètres!$A$1:$I$89,5,0)</f>
        <v>258.2424000000002</v>
      </c>
      <c r="P51" s="13">
        <f t="shared" si="33"/>
        <v>62.347580891234266</v>
      </c>
      <c r="Q51" s="20">
        <f t="shared" si="53"/>
        <v>558.36088338556658</v>
      </c>
      <c r="R51" s="59">
        <f t="shared" si="0"/>
        <v>851.69421671889995</v>
      </c>
      <c r="S51" s="59">
        <f ca="1">AVERAGE(OFFSET($R$3,0,0,'Données projet'!$E$9+1,1))-AVERAGE(OFFSET($H$3,0,0,'Données projet'!$E$9+1,1))</f>
        <v>379.12827535040157</v>
      </c>
      <c r="T51" s="59">
        <f t="shared" si="34"/>
        <v>317.29813413796956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61.399894117707369</v>
      </c>
      <c r="AA51" s="21">
        <f>EXP(-LN(2)/25)*AA50+(1-EXP(-LN(2)/25))/(LN(2)/25)*Calculateur!V51*Calculateur!X51*VLOOKUP('Données projet'!$B$9,Paramètres!$A$1:$I$89,3,0)*0.475*44/12</f>
        <v>27.036435675037559</v>
      </c>
      <c r="AB51" s="21">
        <f>EXP(-LN(2)/2)*AB50+(1-EXP(-LN(2)/2))/(LN(2)/2)*V51*Y51*VLOOKUP('Données projet'!$B$9,Paramètres!$A$1:$I$89,3,0)*0.475*44/12</f>
        <v>8.4088150612195058E-4</v>
      </c>
      <c r="AC51" s="22">
        <f t="shared" si="3"/>
        <v>88.43717067425105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9">
        <f t="shared" si="5"/>
        <v>753.62490353300643</v>
      </c>
      <c r="AN51" s="59">
        <f ca="1">AVERAGE(OFFSET($AM$3,0,0,'Données projet'!$E$10+1,1))-AVERAGE(OFFSET($H$3,0,0,'Données projet'!$E$10+1,1))</f>
        <v>392.48436003609055</v>
      </c>
      <c r="AO51" s="59">
        <f t="shared" si="36"/>
        <v>236.3312446580419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34.669233143230727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34.669233143230727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195.00000000000003</v>
      </c>
      <c r="BE51" s="13">
        <f>BD51*VLOOKUP('Données projet'!$B$11,Paramètres!$A$1:$I$89,3,0)*VLOOKUP('Données projet'!$B$11,Paramètres!$A$1:$I$89,5,0)</f>
        <v>167.31000000000006</v>
      </c>
      <c r="BF51" s="13">
        <f t="shared" si="37"/>
        <v>42.486994942347515</v>
      </c>
      <c r="BG51" s="20">
        <f t="shared" si="7"/>
        <v>365.39643285792204</v>
      </c>
      <c r="BH51" s="59">
        <f t="shared" si="8"/>
        <v>658.72976619125529</v>
      </c>
      <c r="BI51" s="59">
        <f ca="1">AVERAGE(OFFSET($BH$3,0,0,'Données projet'!$E$11+1,1))-AVERAGE(OFFSET($H$3,0,0,'Données projet'!$E$11+1,1))</f>
        <v>352.61091660077574</v>
      </c>
      <c r="BJ51" s="59">
        <f t="shared" si="38"/>
        <v>186.48649111821521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36.157715424872123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36.157715424872123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24.6</v>
      </c>
      <c r="N52" s="13">
        <f>IF('Données projet'!$A$36&gt;35,N51+M52-V51,IF(A52&lt;'Données projet'!$A$36,$K$205^A52,IF(A52='Données projet'!$A$36,'Données projet'!$B$36,N51+M52-V51)))</f>
        <v>576.40000000000043</v>
      </c>
      <c r="O52" s="13">
        <f>N52*VLOOKUP('Données projet'!$B$9,Paramètres!$A$1:$I$89,3,0)*VLOOKUP('Données projet'!$B$9,Paramètres!$A$1:$I$89,5,0)</f>
        <v>269.75520000000023</v>
      </c>
      <c r="P52" s="13">
        <f t="shared" si="33"/>
        <v>64.797313807133861</v>
      </c>
      <c r="Q52" s="20">
        <f t="shared" si="53"/>
        <v>582.67896154742527</v>
      </c>
      <c r="R52" s="59">
        <f t="shared" si="0"/>
        <v>876.01229488075865</v>
      </c>
      <c r="S52" s="59">
        <f ca="1">AVERAGE(OFFSET($R$3,0,0,'Données projet'!$E$9+1,1))-AVERAGE(OFFSET($H$3,0,0,'Données projet'!$E$9+1,1))</f>
        <v>379.12827535040157</v>
      </c>
      <c r="T52" s="59">
        <f t="shared" si="34"/>
        <v>317.29813413796956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60.195879644296639</v>
      </c>
      <c r="AA52" s="21">
        <f>EXP(-LN(2)/25)*AA51+(1-EXP(-LN(2)/25))/(LN(2)/25)*Calculateur!V52*Calculateur!X52*VLOOKUP('Données projet'!$B$9,Paramètres!$A$1:$I$89,3,0)*0.475*44/12</f>
        <v>26.297122919719296</v>
      </c>
      <c r="AB52" s="21">
        <f>EXP(-LN(2)/2)*AB51+(1-EXP(-LN(2)/2))/(LN(2)/2)*V52*Y52*VLOOKUP('Données projet'!$B$9,Paramètres!$A$1:$I$89,3,0)*0.475*44/12</f>
        <v>5.9459301515318863E-4</v>
      </c>
      <c r="AC52" s="22">
        <f t="shared" si="3"/>
        <v>86.49359715703109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9">
        <f t="shared" si="5"/>
        <v>777.27939223762587</v>
      </c>
      <c r="AN52" s="59">
        <f ca="1">AVERAGE(OFFSET($AM$3,0,0,'Données projet'!$E$10+1,1))-AVERAGE(OFFSET($H$3,0,0,'Données projet'!$E$10+1,1))</f>
        <v>392.48436003609055</v>
      </c>
      <c r="AO52" s="59">
        <f t="shared" si="36"/>
        <v>236.3312446580419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33.98939062743618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33.98939062743618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206.00000000000003</v>
      </c>
      <c r="BE52" s="13">
        <f>BD52*VLOOKUP('Données projet'!$B$11,Paramètres!$A$1:$I$89,3,0)*VLOOKUP('Données projet'!$B$11,Paramètres!$A$1:$I$89,5,0)</f>
        <v>176.74800000000005</v>
      </c>
      <c r="BF52" s="13">
        <f t="shared" si="37"/>
        <v>44.597910160550732</v>
      </c>
      <c r="BG52" s="20">
        <f t="shared" si="7"/>
        <v>385.51079352962591</v>
      </c>
      <c r="BH52" s="59">
        <f t="shared" si="8"/>
        <v>678.84412686295923</v>
      </c>
      <c r="BI52" s="59">
        <f ca="1">AVERAGE(OFFSET($BH$3,0,0,'Données projet'!$E$11+1,1))-AVERAGE(OFFSET($H$3,0,0,'Données projet'!$E$11+1,1))</f>
        <v>352.61091660077574</v>
      </c>
      <c r="BJ52" s="59">
        <f t="shared" si="38"/>
        <v>186.48649111821521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35.448684679419138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35.448684679419138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601</v>
      </c>
      <c r="L53" s="12">
        <f>VLOOKUP(A53,'Données projet'!$A$35:$I$55,9,0)</f>
        <v>24.6</v>
      </c>
      <c r="M53" s="12">
        <f t="array" ref="M53">INDEX(L:L,MIN(IF(ISNUMBER(L53:L249),ROW(L53:L249),"")))</f>
        <v>24.6</v>
      </c>
      <c r="N53" s="13">
        <f>IF('Données projet'!$A$36&gt;35,N52+M53-V52,IF(A53&lt;'Données projet'!$A$36,$K$205^A53,IF(A53='Données projet'!$A$36,'Données projet'!$B$36,N52+M53-V52)))</f>
        <v>601.00000000000045</v>
      </c>
      <c r="O53" s="13">
        <f>N53*VLOOKUP('Données projet'!$B$9,Paramètres!$A$1:$I$89,3,0)*VLOOKUP('Données projet'!$B$9,Paramètres!$A$1:$I$89,5,0)</f>
        <v>281.2680000000002</v>
      </c>
      <c r="P53" s="13">
        <f t="shared" si="33"/>
        <v>67.23490322494834</v>
      </c>
      <c r="Q53" s="20">
        <f t="shared" si="53"/>
        <v>606.97588978345209</v>
      </c>
      <c r="R53" s="59">
        <f t="shared" si="0"/>
        <v>900.30922311678546</v>
      </c>
      <c r="S53" s="59">
        <f ca="1">AVERAGE(OFFSET($R$3,0,0,'Données projet'!$E$9+1,1))-AVERAGE(OFFSET($H$3,0,0,'Données projet'!$E$9+1,1))</f>
        <v>379.12827535040157</v>
      </c>
      <c r="T53" s="59">
        <f t="shared" si="34"/>
        <v>317.29813413796956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70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82.917513518442803</v>
      </c>
      <c r="AA53" s="21">
        <f>EXP(-LN(2)/25)*AA52+(1-EXP(-LN(2)/25))/(LN(2)/25)*Calculateur!V53*Calculateur!X53*VLOOKUP('Données projet'!$B$9,Paramètres!$A$1:$I$89,3,0)*0.475*44/12</f>
        <v>25.57802671057398</v>
      </c>
      <c r="AB53" s="21">
        <f>EXP(-LN(2)/2)*AB52+(1-EXP(-LN(2)/2))/(LN(2)/2)*V53*Y53*VLOOKUP('Données projet'!$B$9,Paramètres!$A$1:$I$89,3,0)*0.475*44/12</f>
        <v>4.2044075306097529E-4</v>
      </c>
      <c r="AC53" s="22">
        <f t="shared" si="3"/>
        <v>108.49596066976984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9">
        <f t="shared" si="5"/>
        <v>800.90933500769279</v>
      </c>
      <c r="AN53" s="59">
        <f ca="1">AVERAGE(OFFSET($AM$3,0,0,'Données projet'!$E$10+1,1))-AVERAGE(OFFSET($H$3,0,0,'Données projet'!$E$10+1,1))</f>
        <v>392.48436003609055</v>
      </c>
      <c r="AO53" s="59">
        <f t="shared" si="36"/>
        <v>236.3312446580419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46.819080865464173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46.819080865464173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217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217.00000000000003</v>
      </c>
      <c r="BE53" s="13">
        <f>BD53*VLOOKUP('Données projet'!$B$11,Paramètres!$A$1:$I$89,3,0)*VLOOKUP('Données projet'!$B$11,Paramètres!$A$1:$I$89,5,0)</f>
        <v>186.18600000000004</v>
      </c>
      <c r="BF53" s="13">
        <f t="shared" si="37"/>
        <v>46.69573903947046</v>
      </c>
      <c r="BG53" s="20">
        <f t="shared" si="7"/>
        <v>405.60236216041108</v>
      </c>
      <c r="BH53" s="59">
        <f t="shared" si="8"/>
        <v>698.93569549374433</v>
      </c>
      <c r="BI53" s="59">
        <f ca="1">AVERAGE(OFFSET($BH$3,0,0,'Données projet'!$E$11+1,1))-AVERAGE(OFFSET($H$3,0,0,'Données projet'!$E$11+1,1))</f>
        <v>352.61091660077574</v>
      </c>
      <c r="BJ53" s="59">
        <f t="shared" si="38"/>
        <v>186.48649111821521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48.829202405305217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48.829202405305217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23</v>
      </c>
      <c r="N54" s="13">
        <f>IF('Données projet'!$A$36&gt;35,N53+M54-V53,IF(A54&lt;'Données projet'!$A$36,$K$205^A54,IF(A54='Données projet'!$A$36,'Données projet'!$B$36,N53+M54-V53)))</f>
        <v>554.00000000000045</v>
      </c>
      <c r="O54" s="13">
        <f>N54*VLOOKUP('Données projet'!$B$9,Paramètres!$A$1:$I$89,3,0)*VLOOKUP('Données projet'!$B$9,Paramètres!$A$1:$I$89,5,0)</f>
        <v>259.27200000000022</v>
      </c>
      <c r="P54" s="13">
        <f t="shared" si="33"/>
        <v>62.567172460757995</v>
      </c>
      <c r="Q54" s="20">
        <f t="shared" si="53"/>
        <v>560.53655870248713</v>
      </c>
      <c r="R54" s="59">
        <f t="shared" si="0"/>
        <v>853.86989203582038</v>
      </c>
      <c r="S54" s="59">
        <f ca="1">AVERAGE(OFFSET($R$3,0,0,'Données projet'!$E$9+1,1))-AVERAGE(OFFSET($H$3,0,0,'Données projet'!$E$9+1,1))</f>
        <v>379.12827535040157</v>
      </c>
      <c r="T54" s="59">
        <f t="shared" si="34"/>
        <v>317.29813413796956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81.291551653035555</v>
      </c>
      <c r="AA54" s="21">
        <f>EXP(-LN(2)/25)*AA53+(1-EXP(-LN(2)/25))/(LN(2)/25)*Calculateur!V54*Calculateur!X54*VLOOKUP('Données projet'!$B$9,Paramètres!$A$1:$I$89,3,0)*0.475*44/12</f>
        <v>24.878594225083368</v>
      </c>
      <c r="AB54" s="21">
        <f>EXP(-LN(2)/2)*AB53+(1-EXP(-LN(2)/2))/(LN(2)/2)*V54*Y54*VLOOKUP('Données projet'!$B$9,Paramètres!$A$1:$I$89,3,0)*0.475*44/12</f>
        <v>2.9729650757659432E-4</v>
      </c>
      <c r="AC54" s="22">
        <f t="shared" si="3"/>
        <v>106.1704431746265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9">
        <f t="shared" si="5"/>
        <v>762.65960293281341</v>
      </c>
      <c r="AN54" s="59">
        <f ca="1">AVERAGE(OFFSET($AM$3,0,0,'Données projet'!$E$10+1,1))-AVERAGE(OFFSET($H$3,0,0,'Données projet'!$E$10+1,1))</f>
        <v>392.48436003609055</v>
      </c>
      <c r="AO54" s="59">
        <f t="shared" si="36"/>
        <v>236.3312446580419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45.900987246511995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45.900987246511995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</v>
      </c>
      <c r="BD54" s="12">
        <f>IF('Données projet'!$A$88&gt;35,BD53+BC54-BL53,IF(A54&lt;'Données projet'!$A$88,$BA$205^A54,IF(A54='Données projet'!$A$88,'Données projet'!$B$88,BD53+BC54-BL53)))</f>
        <v>200.00000000000003</v>
      </c>
      <c r="BE54" s="13">
        <f>BD54*VLOOKUP('Données projet'!$B$11,Paramètres!$A$1:$I$89,3,0)*VLOOKUP('Données projet'!$B$11,Paramètres!$A$1:$I$89,5,0)</f>
        <v>171.60000000000005</v>
      </c>
      <c r="BF54" s="13">
        <f t="shared" si="37"/>
        <v>43.44817475464852</v>
      </c>
      <c r="BG54" s="20">
        <f t="shared" si="7"/>
        <v>374.54223769767958</v>
      </c>
      <c r="BH54" s="59">
        <f t="shared" si="8"/>
        <v>667.8755710310129</v>
      </c>
      <c r="BI54" s="59">
        <f ca="1">AVERAGE(OFFSET($BH$3,0,0,'Données projet'!$E$11+1,1))-AVERAGE(OFFSET($H$3,0,0,'Données projet'!$E$11+1,1))</f>
        <v>352.61091660077574</v>
      </c>
      <c r="BJ54" s="59">
        <f t="shared" si="38"/>
        <v>186.48649111821521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47.871691529009837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47.871691529009837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23</v>
      </c>
      <c r="N55" s="13">
        <f>IF('Données projet'!$A$36&gt;35,N54+M55-V54,IF(A55&lt;'Données projet'!$A$36,$K$205^A55,IF(A55='Données projet'!$A$36,'Données projet'!$B$36,N54+M55-V54)))</f>
        <v>577.00000000000045</v>
      </c>
      <c r="O55" s="13">
        <f>N55*VLOOKUP('Données projet'!$B$9,Paramètres!$A$1:$I$89,3,0)*VLOOKUP('Données projet'!$B$9,Paramètres!$A$1:$I$89,5,0)</f>
        <v>270.03600000000023</v>
      </c>
      <c r="P55" s="13">
        <f t="shared" si="33"/>
        <v>64.856909337133487</v>
      </c>
      <c r="Q55" s="20">
        <f t="shared" si="53"/>
        <v>583.2718170955078</v>
      </c>
      <c r="R55" s="59">
        <f t="shared" si="0"/>
        <v>876.60515042884117</v>
      </c>
      <c r="S55" s="59">
        <f ca="1">AVERAGE(OFFSET($R$3,0,0,'Données projet'!$E$9+1,1))-AVERAGE(OFFSET($H$3,0,0,'Données projet'!$E$9+1,1))</f>
        <v>379.12827535040157</v>
      </c>
      <c r="T55" s="59">
        <f t="shared" si="34"/>
        <v>317.29813413796956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79.697473908070123</v>
      </c>
      <c r="AA55" s="21">
        <f>EXP(-LN(2)/25)*AA54+(1-EXP(-LN(2)/25))/(LN(2)/25)*Calculateur!V55*Calculateur!X55*VLOOKUP('Données projet'!$B$9,Paramètres!$A$1:$I$89,3,0)*0.475*44/12</f>
        <v>24.198287757690053</v>
      </c>
      <c r="AB55" s="21">
        <f>EXP(-LN(2)/2)*AB54+(1-EXP(-LN(2)/2))/(LN(2)/2)*V55*Y55*VLOOKUP('Données projet'!$B$9,Paramètres!$A$1:$I$89,3,0)*0.475*44/12</f>
        <v>2.1022037653048765E-4</v>
      </c>
      <c r="AC55" s="22">
        <f t="shared" si="3"/>
        <v>103.89597188613671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784.58575032378474</v>
      </c>
      <c r="AN55" s="59">
        <f ca="1">AVERAGE(OFFSET($AM$3,0,0,'Données projet'!$E$10+1,1))-AVERAGE(OFFSET($H$3,0,0,'Données projet'!$E$10+1,1))</f>
        <v>392.48436003609055</v>
      </c>
      <c r="AO55" s="59">
        <f t="shared" si="36"/>
        <v>236.3312446580419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45.000896883445655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45.000896883445655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</v>
      </c>
      <c r="BD55" s="12">
        <f>IF('Données projet'!$A$88&gt;35,BD54+BC55-BL54,IF(A55&lt;'Données projet'!$A$88,$BA$205^A55,IF(A55='Données projet'!$A$88,'Données projet'!$B$88,BD54+BC55-BL54)))</f>
        <v>211.00000000000003</v>
      </c>
      <c r="BE55" s="13">
        <f>BD55*VLOOKUP('Données projet'!$B$11,Paramètres!$A$1:$I$89,3,0)*VLOOKUP('Données projet'!$B$11,Paramètres!$A$1:$I$89,5,0)</f>
        <v>181.03800000000004</v>
      </c>
      <c r="BF55" s="13">
        <f t="shared" si="37"/>
        <v>45.553044701671382</v>
      </c>
      <c r="BG55" s="20">
        <f t="shared" si="7"/>
        <v>394.64606952207765</v>
      </c>
      <c r="BH55" s="59">
        <f t="shared" si="8"/>
        <v>687.97940285541097</v>
      </c>
      <c r="BI55" s="59">
        <f ca="1">AVERAGE(OFFSET($BH$3,0,0,'Données projet'!$E$11+1,1))-AVERAGE(OFFSET($H$3,0,0,'Données projet'!$E$11+1,1))</f>
        <v>352.61091660077574</v>
      </c>
      <c r="BJ55" s="59">
        <f t="shared" si="38"/>
        <v>186.48649111821521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46.932956856974641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46.932956856974641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23</v>
      </c>
      <c r="N56" s="13">
        <f>IF('Données projet'!$A$36&gt;35,N55+M56-V55,IF(A56&lt;'Données projet'!$A$36,$K$205^A56,IF(A56='Données projet'!$A$36,'Données projet'!$B$36,N55+M56-V55)))</f>
        <v>600.00000000000045</v>
      </c>
      <c r="O56" s="13">
        <f>N56*VLOOKUP('Données projet'!$B$9,Paramètres!$A$1:$I$89,3,0)*VLOOKUP('Données projet'!$B$9,Paramètres!$A$1:$I$89,5,0)</f>
        <v>280.80000000000018</v>
      </c>
      <c r="P56" s="13">
        <f t="shared" si="33"/>
        <v>67.136043795470343</v>
      </c>
      <c r="Q56" s="20">
        <f t="shared" si="53"/>
        <v>605.98860961044454</v>
      </c>
      <c r="R56" s="59">
        <f t="shared" si="0"/>
        <v>899.32194294377791</v>
      </c>
      <c r="S56" s="59">
        <f ca="1">AVERAGE(OFFSET($R$3,0,0,'Données projet'!$E$9+1,1))-AVERAGE(OFFSET($H$3,0,0,'Données projet'!$E$9+1,1))</f>
        <v>379.12827535040157</v>
      </c>
      <c r="T56" s="59">
        <f t="shared" si="34"/>
        <v>317.29813413796956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78.134655055392045</v>
      </c>
      <c r="AA56" s="21">
        <f>EXP(-LN(2)/25)*AA55+(1-EXP(-LN(2)/25))/(LN(2)/25)*Calculateur!V56*Calculateur!X56*VLOOKUP('Données projet'!$B$9,Paramètres!$A$1:$I$89,3,0)*0.475*44/12</f>
        <v>23.536584306423372</v>
      </c>
      <c r="AB56" s="21">
        <f>EXP(-LN(2)/2)*AB55+(1-EXP(-LN(2)/2))/(LN(2)/2)*V56*Y56*VLOOKUP('Données projet'!$B$9,Paramètres!$A$1:$I$89,3,0)*0.475*44/12</f>
        <v>1.4864825378829716E-4</v>
      </c>
      <c r="AC56" s="22">
        <f t="shared" si="3"/>
        <v>101.67138801006921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9">
        <f t="shared" si="5"/>
        <v>806.49115224821094</v>
      </c>
      <c r="AN56" s="59">
        <f ca="1">AVERAGE(OFFSET($AM$3,0,0,'Données projet'!$E$10+1,1))-AVERAGE(OFFSET($H$3,0,0,'Données projet'!$E$10+1,1))</f>
        <v>392.48436003609055</v>
      </c>
      <c r="AO56" s="59">
        <f t="shared" si="36"/>
        <v>236.3312446580419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44.118456743398134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44.118456743398134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</v>
      </c>
      <c r="BD56" s="12">
        <f>IF('Données projet'!$A$88&gt;35,BD55+BC56-BL55,IF(A56&lt;'Données projet'!$A$88,$BA$205^A56,IF(A56='Données projet'!$A$88,'Données projet'!$B$88,BD55+BC56-BL55)))</f>
        <v>222.00000000000003</v>
      </c>
      <c r="BE56" s="13">
        <f>BD56*VLOOKUP('Données projet'!$B$11,Paramètres!$A$1:$I$89,3,0)*VLOOKUP('Données projet'!$B$11,Paramètres!$A$1:$I$89,5,0)</f>
        <v>190.47600000000006</v>
      </c>
      <c r="BF56" s="13">
        <f t="shared" si="37"/>
        <v>47.645174362968355</v>
      </c>
      <c r="BG56" s="20">
        <f t="shared" si="7"/>
        <v>414.7277120155033</v>
      </c>
      <c r="BH56" s="59">
        <f t="shared" si="8"/>
        <v>708.06104534883661</v>
      </c>
      <c r="BI56" s="59">
        <f ca="1">AVERAGE(OFFSET($BH$3,0,0,'Données projet'!$E$11+1,1))-AVERAGE(OFFSET($H$3,0,0,'Données projet'!$E$11+1,1))</f>
        <v>352.61091660077574</v>
      </c>
      <c r="BJ56" s="59">
        <f t="shared" si="38"/>
        <v>186.48649111821521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46.012630199286441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46.012630199286441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23</v>
      </c>
      <c r="N57" s="13">
        <f>IF('Données projet'!$A$36&gt;35,N56+M57-V56,IF(A57&lt;'Données projet'!$A$36,$K$205^A57,IF(A57='Données projet'!$A$36,'Données projet'!$B$36,N56+M57-V56)))</f>
        <v>623.00000000000045</v>
      </c>
      <c r="O57" s="13">
        <f>N57*VLOOKUP('Données projet'!$B$9,Paramètres!$A$1:$I$89,3,0)*VLOOKUP('Données projet'!$B$9,Paramètres!$A$1:$I$89,5,0)</f>
        <v>291.56400000000019</v>
      </c>
      <c r="P57" s="13">
        <f t="shared" si="33"/>
        <v>69.405028784878667</v>
      </c>
      <c r="Q57" s="20">
        <f t="shared" si="53"/>
        <v>628.687725133664</v>
      </c>
      <c r="R57" s="59">
        <f t="shared" si="0"/>
        <v>922.02105846699737</v>
      </c>
      <c r="S57" s="59">
        <f ca="1">AVERAGE(OFFSET($R$3,0,0,'Données projet'!$E$9+1,1))-AVERAGE(OFFSET($H$3,0,0,'Données projet'!$E$9+1,1))</f>
        <v>379.12827535040157</v>
      </c>
      <c r="T57" s="59">
        <f t="shared" si="34"/>
        <v>317.29813413796956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76.602482127189617</v>
      </c>
      <c r="AA57" s="21">
        <f>EXP(-LN(2)/25)*AA56+(1-EXP(-LN(2)/25))/(LN(2)/25)*Calculateur!V57*Calculateur!X57*VLOOKUP('Données projet'!$B$9,Paramètres!$A$1:$I$89,3,0)*0.475*44/12</f>
        <v>22.89297517082905</v>
      </c>
      <c r="AB57" s="21">
        <f>EXP(-LN(2)/2)*AB56+(1-EXP(-LN(2)/2))/(LN(2)/2)*V57*Y57*VLOOKUP('Données projet'!$B$9,Paramètres!$A$1:$I$89,3,0)*0.475*44/12</f>
        <v>1.0511018826524382E-4</v>
      </c>
      <c r="AC57" s="22">
        <f t="shared" si="3"/>
        <v>99.495562408206936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828.37681807288618</v>
      </c>
      <c r="AN57" s="59">
        <f ca="1">AVERAGE(OFFSET($AM$3,0,0,'Données projet'!$E$10+1,1))-AVERAGE(OFFSET($H$3,0,0,'Données projet'!$E$10+1,1))</f>
        <v>392.48436003609055</v>
      </c>
      <c r="AO57" s="59">
        <f t="shared" si="36"/>
        <v>236.3312446580419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43.253320716261605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43.253320716261605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</v>
      </c>
      <c r="BD57" s="12">
        <f>IF('Données projet'!$A$88&gt;35,BD56+BC57-BL56,IF(A57&lt;'Données projet'!$A$88,$BA$205^A57,IF(A57='Données projet'!$A$88,'Données projet'!$B$88,BD56+BC57-BL56)))</f>
        <v>233.00000000000003</v>
      </c>
      <c r="BE57" s="13">
        <f>BD57*VLOOKUP('Données projet'!$B$11,Paramètres!$A$1:$I$89,3,0)*VLOOKUP('Données projet'!$B$11,Paramètres!$A$1:$I$89,5,0)</f>
        <v>199.91400000000007</v>
      </c>
      <c r="BF57" s="13">
        <f t="shared" si="37"/>
        <v>49.725267055272241</v>
      </c>
      <c r="BG57" s="20">
        <f t="shared" si="7"/>
        <v>434.78839012126599</v>
      </c>
      <c r="BH57" s="59">
        <f t="shared" si="8"/>
        <v>728.12172345459931</v>
      </c>
      <c r="BI57" s="59">
        <f ca="1">AVERAGE(OFFSET($BH$3,0,0,'Données projet'!$E$11+1,1))-AVERAGE(OFFSET($H$3,0,0,'Données projet'!$E$11+1,1))</f>
        <v>352.61091660077574</v>
      </c>
      <c r="BJ57" s="59">
        <f t="shared" si="38"/>
        <v>186.48649111821521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45.110350586011677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45.110350586011677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646</v>
      </c>
      <c r="L58" s="12">
        <f>VLOOKUP(A58,'Données projet'!$A$35:$I$55,9,0)</f>
        <v>23</v>
      </c>
      <c r="M58" s="12">
        <f t="array" ref="M58">INDEX(L:L,MIN(IF(ISNUMBER(L58:L254),ROW(L58:L254),"")))</f>
        <v>23</v>
      </c>
      <c r="N58" s="13">
        <f>IF('Données projet'!$A$36&gt;35,N57+M58-V57,IF(A58&lt;'Données projet'!$A$36,$K$205^A58,IF(A58='Données projet'!$A$36,'Données projet'!$B$36,N57+M58-V57)))</f>
        <v>646.00000000000045</v>
      </c>
      <c r="O58" s="13">
        <f>N58*VLOOKUP('Données projet'!$B$9,Paramètres!$A$1:$I$89,3,0)*VLOOKUP('Données projet'!$B$9,Paramètres!$A$1:$I$89,5,0)</f>
        <v>302.3280000000002</v>
      </c>
      <c r="P58" s="13">
        <f t="shared" si="33"/>
        <v>71.664281915377458</v>
      </c>
      <c r="Q58" s="20">
        <f t="shared" si="53"/>
        <v>651.3698910026161</v>
      </c>
      <c r="R58" s="59">
        <f t="shared" si="0"/>
        <v>944.70322433594947</v>
      </c>
      <c r="S58" s="59">
        <f ca="1">AVERAGE(OFFSET($R$3,0,0,'Données projet'!$E$9+1,1))-AVERAGE(OFFSET($H$3,0,0,'Données projet'!$E$9+1,1))</f>
        <v>379.12827535040157</v>
      </c>
      <c r="T58" s="59">
        <f t="shared" si="34"/>
        <v>317.29813413796956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63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96.6121886978747</v>
      </c>
      <c r="AA58" s="21">
        <f>EXP(-LN(2)/25)*AA57+(1-EXP(-LN(2)/25))/(LN(2)/25)*Calculateur!V58*Calculateur!X58*VLOOKUP('Données projet'!$B$9,Paramètres!$A$1:$I$89,3,0)*0.475*44/12</f>
        <v>22.266965560893489</v>
      </c>
      <c r="AB58" s="21">
        <f>EXP(-LN(2)/2)*AB57+(1-EXP(-LN(2)/2))/(LN(2)/2)*V58*Y58*VLOOKUP('Données projet'!$B$9,Paramètres!$A$1:$I$89,3,0)*0.475*44/12</f>
        <v>7.4324126894148579E-5</v>
      </c>
      <c r="AC58" s="22">
        <f t="shared" si="3"/>
        <v>118.87922858289508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850.24366792757291</v>
      </c>
      <c r="AN58" s="59">
        <f ca="1">AVERAGE(OFFSET($AM$3,0,0,'Données projet'!$E$10+1,1))-AVERAGE(OFFSET($H$3,0,0,'Données projet'!$E$10+1,1))</f>
        <v>392.48436003609055</v>
      </c>
      <c r="AO58" s="59">
        <f t="shared" si="36"/>
        <v>236.3312446580419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55.901350935687148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55.901350935687148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244</v>
      </c>
      <c r="BB58" s="12">
        <f>VLOOKUP(A58,'Données projet'!$A$87:$I$107,9,0)</f>
        <v>11</v>
      </c>
      <c r="BC58" s="12">
        <f t="array" ref="BC58">INDEX(BB:BB,MIN(IF(ISNUMBER(BB58:BB254),ROW(BB58:BB254),"")))</f>
        <v>11</v>
      </c>
      <c r="BD58" s="12">
        <f>IF('Données projet'!$A$88&gt;35,BD57+BC58-BL57,IF(A58&lt;'Données projet'!$A$88,$BA$205^A58,IF(A58='Données projet'!$A$88,'Données projet'!$B$88,BD57+BC58-BL57)))</f>
        <v>244.00000000000003</v>
      </c>
      <c r="BE58" s="13">
        <f>BD58*VLOOKUP('Données projet'!$B$11,Paramètres!$A$1:$I$89,3,0)*VLOOKUP('Données projet'!$B$11,Paramètres!$A$1:$I$89,5,0)</f>
        <v>209.35200000000003</v>
      </c>
      <c r="BF58" s="13">
        <f t="shared" si="37"/>
        <v>51.79395593509436</v>
      </c>
      <c r="BG58" s="20">
        <f t="shared" si="7"/>
        <v>454.82920658695599</v>
      </c>
      <c r="BH58" s="59">
        <f t="shared" si="8"/>
        <v>748.1625399202893</v>
      </c>
      <c r="BI58" s="59">
        <f ca="1">AVERAGE(OFFSET($BH$3,0,0,'Données projet'!$E$11+1,1))-AVERAGE(OFFSET($H$3,0,0,'Données projet'!$E$11+1,1))</f>
        <v>352.61091660077574</v>
      </c>
      <c r="BJ58" s="59">
        <f t="shared" si="38"/>
        <v>186.48649111821521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58.30140893650379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58.30140893650379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21.4</v>
      </c>
      <c r="N59" s="13">
        <f>IF('Données projet'!$A$36&gt;35,N58+M59-V58,IF(A59&lt;'Données projet'!$A$36,$K$205^A59,IF(A59='Données projet'!$A$36,'Données projet'!$B$36,N58+M59-V58)))</f>
        <v>604.40000000000043</v>
      </c>
      <c r="O59" s="13">
        <f>N59*VLOOKUP('Données projet'!$B$9,Paramètres!$A$1:$I$89,3,0)*VLOOKUP('Données projet'!$B$9,Paramètres!$A$1:$I$89,5,0)</f>
        <v>282.85920000000021</v>
      </c>
      <c r="P59" s="13">
        <f t="shared" si="33"/>
        <v>67.570882292948653</v>
      </c>
      <c r="Q59" s="20">
        <f t="shared" si="53"/>
        <v>610.33239332688595</v>
      </c>
      <c r="R59" s="59">
        <f t="shared" si="0"/>
        <v>903.66572666021921</v>
      </c>
      <c r="S59" s="59">
        <f ca="1">AVERAGE(OFFSET($R$3,0,0,'Données projet'!$E$9+1,1))-AVERAGE(OFFSET($H$3,0,0,'Données projet'!$E$9+1,1))</f>
        <v>379.12827535040157</v>
      </c>
      <c r="T59" s="59">
        <f t="shared" si="34"/>
        <v>317.29813413796956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94.717682605125859</v>
      </c>
      <c r="AA59" s="21">
        <f>EXP(-LN(2)/25)*AA58+(1-EXP(-LN(2)/25))/(LN(2)/25)*Calculateur!V59*Calculateur!X59*VLOOKUP('Données projet'!$B$9,Paramètres!$A$1:$I$89,3,0)*0.475*44/12</f>
        <v>21.65807421666203</v>
      </c>
      <c r="AB59" s="21">
        <f>EXP(-LN(2)/2)*AB58+(1-EXP(-LN(2)/2))/(LN(2)/2)*V59*Y59*VLOOKUP('Données projet'!$B$9,Paramètres!$A$1:$I$89,3,0)*0.475*44/12</f>
        <v>5.2555094132621912E-5</v>
      </c>
      <c r="AC59" s="22">
        <f t="shared" si="3"/>
        <v>116.37580937688202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810.35473537050575</v>
      </c>
      <c r="AN59" s="59">
        <f ca="1">AVERAGE(OFFSET($AM$3,0,0,'Données projet'!$E$10+1,1))-AVERAGE(OFFSET($H$3,0,0,'Données projet'!$E$10+1,1))</f>
        <v>392.48436003609055</v>
      </c>
      <c r="AO59" s="59">
        <f t="shared" si="36"/>
        <v>236.3312446580419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54.805159540295648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54.805159540295648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226.80000000000004</v>
      </c>
      <c r="BE59" s="13">
        <f>BD59*VLOOKUP('Données projet'!$B$11,Paramètres!$A$1:$I$89,3,0)*VLOOKUP('Données projet'!$B$11,Paramètres!$A$1:$I$89,5,0)</f>
        <v>194.59440000000006</v>
      </c>
      <c r="BF59" s="13">
        <f t="shared" si="37"/>
        <v>48.554292648263456</v>
      </c>
      <c r="BG59" s="20">
        <f t="shared" si="7"/>
        <v>423.48397302905897</v>
      </c>
      <c r="BH59" s="59">
        <f t="shared" si="8"/>
        <v>716.81730636239229</v>
      </c>
      <c r="BI59" s="59">
        <f ca="1">AVERAGE(OFFSET($BH$3,0,0,'Données projet'!$E$11+1,1))-AVERAGE(OFFSET($H$3,0,0,'Données projet'!$E$11+1,1))</f>
        <v>352.61091660077574</v>
      </c>
      <c r="BJ59" s="59">
        <f t="shared" si="38"/>
        <v>186.48649111821521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57.158153867607112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57.158153867607112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21.4</v>
      </c>
      <c r="N60" s="13">
        <f>IF('Données projet'!$A$36&gt;35,N59+M60-V59,IF(A60&lt;'Données projet'!$A$36,$K$205^A60,IF(A60='Données projet'!$A$36,'Données projet'!$B$36,N59+M60-V59)))</f>
        <v>625.80000000000041</v>
      </c>
      <c r="O60" s="13">
        <f>N60*VLOOKUP('Données projet'!$B$9,Paramètres!$A$1:$I$89,3,0)*VLOOKUP('Données projet'!$B$9,Paramètres!$A$1:$I$89,5,0)</f>
        <v>292.87440000000021</v>
      </c>
      <c r="P60" s="13">
        <f t="shared" si="33"/>
        <v>69.680580555206433</v>
      </c>
      <c r="Q60" s="20">
        <f t="shared" si="53"/>
        <v>631.44992446698484</v>
      </c>
      <c r="R60" s="59">
        <f t="shared" si="0"/>
        <v>924.7832578003181</v>
      </c>
      <c r="S60" s="59">
        <f ca="1">AVERAGE(OFFSET($R$3,0,0,'Données projet'!$E$9+1,1))-AVERAGE(OFFSET($H$3,0,0,'Données projet'!$E$9+1,1))</f>
        <v>379.12827535040157</v>
      </c>
      <c r="T60" s="59">
        <f t="shared" si="34"/>
        <v>317.29813413796956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92.860326621321207</v>
      </c>
      <c r="AA60" s="21">
        <f>EXP(-LN(2)/25)*AA59+(1-EXP(-LN(2)/25))/(LN(2)/25)*Calculateur!V60*Calculateur!X60*VLOOKUP('Données projet'!$B$9,Paramètres!$A$1:$I$89,3,0)*0.475*44/12</f>
        <v>21.065833038258784</v>
      </c>
      <c r="AB60" s="21">
        <f>EXP(-LN(2)/2)*AB59+(1-EXP(-LN(2)/2))/(LN(2)/2)*V60*Y60*VLOOKUP('Données projet'!$B$9,Paramètres!$A$1:$I$89,3,0)*0.475*44/12</f>
        <v>3.7162063447074289E-5</v>
      </c>
      <c r="AC60" s="22">
        <f t="shared" si="3"/>
        <v>113.92619682164344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830.52144461230614</v>
      </c>
      <c r="AN60" s="59">
        <f ca="1">AVERAGE(OFFSET($AM$3,0,0,'Données projet'!$E$10+1,1))-AVERAGE(OFFSET($H$3,0,0,'Données projet'!$E$10+1,1))</f>
        <v>392.48436003609055</v>
      </c>
      <c r="AO60" s="59">
        <f t="shared" si="36"/>
        <v>236.3312446580419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53.730463789557042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53.730463789557042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237.60000000000005</v>
      </c>
      <c r="BE60" s="13">
        <f>BD60*VLOOKUP('Données projet'!$B$11,Paramètres!$A$1:$I$89,3,0)*VLOOKUP('Données projet'!$B$11,Paramètres!$A$1:$I$89,5,0)</f>
        <v>203.86080000000007</v>
      </c>
      <c r="BF60" s="13">
        <f t="shared" si="37"/>
        <v>50.591708220421786</v>
      </c>
      <c r="BG60" s="20">
        <f t="shared" si="7"/>
        <v>443.17145181723475</v>
      </c>
      <c r="BH60" s="59">
        <f t="shared" si="8"/>
        <v>736.50478515056807</v>
      </c>
      <c r="BI60" s="59">
        <f ca="1">AVERAGE(OFFSET($BH$3,0,0,'Données projet'!$E$11+1,1))-AVERAGE(OFFSET($H$3,0,0,'Données projet'!$E$11+1,1))</f>
        <v>352.61091660077574</v>
      </c>
      <c r="BJ60" s="59">
        <f t="shared" si="38"/>
        <v>186.48649111821521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56.037317333294759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56.037317333294759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21.4</v>
      </c>
      <c r="N61" s="13">
        <f>IF('Données projet'!$A$36&gt;35,N60+M61-V60,IF(A61&lt;'Données projet'!$A$36,$K$205^A61,IF(A61='Données projet'!$A$36,'Données projet'!$B$36,N60+M61-V60)))</f>
        <v>647.20000000000039</v>
      </c>
      <c r="O61" s="13">
        <f>N61*VLOOKUP('Données projet'!$B$9,Paramètres!$A$1:$I$89,3,0)*VLOOKUP('Données projet'!$B$9,Paramètres!$A$1:$I$89,5,0)</f>
        <v>302.8896000000002</v>
      </c>
      <c r="P61" s="13">
        <f t="shared" si="33"/>
        <v>71.781896252840141</v>
      </c>
      <c r="Q61" s="20">
        <f t="shared" si="53"/>
        <v>652.55285597369698</v>
      </c>
      <c r="R61" s="59">
        <f t="shared" si="0"/>
        <v>945.88618930703024</v>
      </c>
      <c r="S61" s="59">
        <f ca="1">AVERAGE(OFFSET($R$3,0,0,'Données projet'!$E$9+1,1))-AVERAGE(OFFSET($H$3,0,0,'Données projet'!$E$9+1,1))</f>
        <v>379.12827535040157</v>
      </c>
      <c r="T61" s="59">
        <f t="shared" si="34"/>
        <v>317.29813413796956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91.039392255483676</v>
      </c>
      <c r="AA61" s="21">
        <f>EXP(-LN(2)/25)*AA60+(1-EXP(-LN(2)/25))/(LN(2)/25)*Calculateur!V61*Calculateur!X61*VLOOKUP('Données projet'!$B$9,Paramètres!$A$1:$I$89,3,0)*0.475*44/12</f>
        <v>20.489786726023585</v>
      </c>
      <c r="AB61" s="21">
        <f>EXP(-LN(2)/2)*AB60+(1-EXP(-LN(2)/2))/(LN(2)/2)*V61*Y61*VLOOKUP('Données projet'!$B$9,Paramètres!$A$1:$I$89,3,0)*0.475*44/12</f>
        <v>2.6277547066310956E-5</v>
      </c>
      <c r="AC61" s="22">
        <f t="shared" si="3"/>
        <v>111.52920525905432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850.6722473875011</v>
      </c>
      <c r="AN61" s="59">
        <f ca="1">AVERAGE(OFFSET($AM$3,0,0,'Données projet'!$E$10+1,1))-AVERAGE(OFFSET($H$3,0,0,'Données projet'!$E$10+1,1))</f>
        <v>392.48436003609055</v>
      </c>
      <c r="AO61" s="59">
        <f t="shared" si="36"/>
        <v>236.3312446580419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52.676842166990738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52.676842166990738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248.40000000000006</v>
      </c>
      <c r="BE61" s="13">
        <f>BD61*VLOOKUP('Données projet'!$B$11,Paramètres!$A$1:$I$89,3,0)*VLOOKUP('Données projet'!$B$11,Paramètres!$A$1:$I$89,5,0)</f>
        <v>213.12720000000004</v>
      </c>
      <c r="BF61" s="13">
        <f t="shared" si="37"/>
        <v>52.618368568459893</v>
      </c>
      <c r="BG61" s="20">
        <f t="shared" si="7"/>
        <v>462.8401985900677</v>
      </c>
      <c r="BH61" s="59">
        <f t="shared" si="8"/>
        <v>756.17353192340101</v>
      </c>
      <c r="BI61" s="59">
        <f ca="1">AVERAGE(OFFSET($BH$3,0,0,'Données projet'!$E$11+1,1))-AVERAGE(OFFSET($H$3,0,0,'Données projet'!$E$11+1,1))</f>
        <v>352.61091660077574</v>
      </c>
      <c r="BJ61" s="59">
        <f t="shared" si="38"/>
        <v>186.48649111821521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54.938459719777491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54.938459719777491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21.4</v>
      </c>
      <c r="N62" s="13">
        <f>IF('Données projet'!$A$36&gt;35,N61+M62-V61,IF(A62&lt;'Données projet'!$A$36,$K$205^A62,IF(A62='Données projet'!$A$36,'Données projet'!$B$36,N61+M62-V61)))</f>
        <v>668.60000000000036</v>
      </c>
      <c r="O62" s="13">
        <f>N62*VLOOKUP('Données projet'!$B$9,Paramètres!$A$1:$I$89,3,0)*VLOOKUP('Données projet'!$B$9,Paramètres!$A$1:$I$89,5,0)</f>
        <v>312.90480000000014</v>
      </c>
      <c r="P62" s="13">
        <f t="shared" si="33"/>
        <v>73.875138342294761</v>
      </c>
      <c r="Q62" s="20">
        <f t="shared" si="53"/>
        <v>673.64172594616355</v>
      </c>
      <c r="R62" s="59">
        <f t="shared" si="0"/>
        <v>966.97505927949692</v>
      </c>
      <c r="S62" s="59">
        <f ca="1">AVERAGE(OFFSET($R$3,0,0,'Données projet'!$E$9+1,1))-AVERAGE(OFFSET($H$3,0,0,'Données projet'!$E$9+1,1))</f>
        <v>379.12827535040157</v>
      </c>
      <c r="T62" s="59">
        <f t="shared" si="34"/>
        <v>317.29813413796956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89.254165301899931</v>
      </c>
      <c r="AA62" s="21">
        <f>EXP(-LN(2)/25)*AA61+(1-EXP(-LN(2)/25))/(LN(2)/25)*Calculateur!V62*Calculateur!X62*VLOOKUP('Données projet'!$B$9,Paramètres!$A$1:$I$89,3,0)*0.475*44/12</f>
        <v>19.929492430489415</v>
      </c>
      <c r="AB62" s="21">
        <f>EXP(-LN(2)/2)*AB61+(1-EXP(-LN(2)/2))/(LN(2)/2)*V62*Y62*VLOOKUP('Données projet'!$B$9,Paramètres!$A$1:$I$89,3,0)*0.475*44/12</f>
        <v>1.8581031723537145E-5</v>
      </c>
      <c r="AC62" s="22">
        <f t="shared" si="3"/>
        <v>109.18367631342107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9">
        <f t="shared" si="5"/>
        <v>870.80779925686852</v>
      </c>
      <c r="AN62" s="59">
        <f ca="1">AVERAGE(OFFSET($AM$3,0,0,'Données projet'!$E$10+1,1))-AVERAGE(OFFSET($H$3,0,0,'Données projet'!$E$10+1,1))</f>
        <v>392.48436003609055</v>
      </c>
      <c r="AO62" s="59">
        <f t="shared" si="36"/>
        <v>236.3312446580419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51.643881421797225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51.643881421797225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259.20000000000005</v>
      </c>
      <c r="BE62" s="13">
        <f>BD62*VLOOKUP('Données projet'!$B$11,Paramètres!$A$1:$I$89,3,0)*VLOOKUP('Données projet'!$B$11,Paramètres!$A$1:$I$89,5,0)</f>
        <v>222.39360000000005</v>
      </c>
      <c r="BF62" s="13">
        <f t="shared" si="37"/>
        <v>54.634794757949287</v>
      </c>
      <c r="BG62" s="20">
        <f t="shared" si="7"/>
        <v>482.49112087009513</v>
      </c>
      <c r="BH62" s="59">
        <f t="shared" si="8"/>
        <v>775.82445420342844</v>
      </c>
      <c r="BI62" s="59">
        <f ca="1">AVERAGE(OFFSET($BH$3,0,0,'Données projet'!$E$11+1,1))-AVERAGE(OFFSET($H$3,0,0,'Données projet'!$E$11+1,1))</f>
        <v>352.61091660077574</v>
      </c>
      <c r="BJ62" s="59">
        <f t="shared" si="38"/>
        <v>186.48649111821521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53.86115003382433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53.86115003382433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690</v>
      </c>
      <c r="L63" s="12">
        <f>VLOOKUP(A63,'Données projet'!$A$35:$I$55,9,0)</f>
        <v>21.4</v>
      </c>
      <c r="M63" s="12">
        <f t="array" ref="M63">INDEX(L:L,MIN(IF(ISNUMBER(L63:L259),ROW(L63:L259),"")))</f>
        <v>21.4</v>
      </c>
      <c r="N63" s="13">
        <f>IF('Données projet'!$A$36&gt;35,N62+M63-V62,IF(A63&lt;'Données projet'!$A$36,$K$205^A63,IF(A63='Données projet'!$A$36,'Données projet'!$B$36,N62+M63-V62)))</f>
        <v>690.00000000000034</v>
      </c>
      <c r="O63" s="13">
        <f>N63*VLOOKUP('Données projet'!$B$9,Paramètres!$A$1:$I$89,3,0)*VLOOKUP('Données projet'!$B$9,Paramètres!$A$1:$I$89,5,0)</f>
        <v>322.92000000000019</v>
      </c>
      <c r="P63" s="13">
        <f t="shared" si="33"/>
        <v>75.960594879408745</v>
      </c>
      <c r="Q63" s="20">
        <f t="shared" si="53"/>
        <v>694.71703608163716</v>
      </c>
      <c r="R63" s="59">
        <f t="shared" si="0"/>
        <v>988.05036941497042</v>
      </c>
      <c r="S63" s="59">
        <f ca="1">AVERAGE(OFFSET($R$3,0,0,'Données projet'!$E$9+1,1))-AVERAGE(OFFSET($H$3,0,0,'Données projet'!$E$9+1,1))</f>
        <v>379.12827535040157</v>
      </c>
      <c r="T63" s="59">
        <f t="shared" si="34"/>
        <v>317.29813413796956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106.62557624648274</v>
      </c>
      <c r="AA63" s="21">
        <f>EXP(-LN(2)/25)*AA62+(1-EXP(-LN(2)/25))/(LN(2)/25)*Calculateur!V63*Calculateur!X63*VLOOKUP('Données projet'!$B$9,Paramètres!$A$1:$I$89,3,0)*0.475*44/12</f>
        <v>19.384519411931223</v>
      </c>
      <c r="AB63" s="21">
        <f>EXP(-LN(2)/2)*AB62+(1-EXP(-LN(2)/2))/(LN(2)/2)*V63*Y63*VLOOKUP('Données projet'!$B$9,Paramètres!$A$1:$I$89,3,0)*0.475*44/12</f>
        <v>1.3138773533155478E-5</v>
      </c>
      <c r="AC63" s="22">
        <f t="shared" si="3"/>
        <v>126.0101087971875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9">
        <f t="shared" si="5"/>
        <v>890.92870637597116</v>
      </c>
      <c r="AN63" s="59">
        <f ca="1">AVERAGE(OFFSET($AM$3,0,0,'Données projet'!$E$10+1,1))-AVERAGE(OFFSET($H$3,0,0,'Données projet'!$E$10+1,1))</f>
        <v>392.48436003609055</v>
      </c>
      <c r="AO63" s="59">
        <f t="shared" si="36"/>
        <v>236.3312446580419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64.127377863523904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64.127377863523904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270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270.00000000000006</v>
      </c>
      <c r="BE63" s="13">
        <f>BD63*VLOOKUP('Données projet'!$B$11,Paramètres!$A$1:$I$89,3,0)*VLOOKUP('Données projet'!$B$11,Paramètres!$A$1:$I$89,5,0)</f>
        <v>231.66000000000011</v>
      </c>
      <c r="BF63" s="13">
        <f t="shared" si="37"/>
        <v>56.641461975682823</v>
      </c>
      <c r="BG63" s="20">
        <f t="shared" si="7"/>
        <v>502.1250462743144</v>
      </c>
      <c r="BH63" s="59">
        <f t="shared" si="8"/>
        <v>795.45837960764766</v>
      </c>
      <c r="BI63" s="59">
        <f ca="1">AVERAGE(OFFSET($BH$3,0,0,'Données projet'!$E$11+1,1))-AVERAGE(OFFSET($H$3,0,0,'Données projet'!$E$11+1,1))</f>
        <v>352.61091660077574</v>
      </c>
      <c r="BJ63" s="59">
        <f t="shared" si="38"/>
        <v>186.48649111821521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66.880610544605474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66.880610544605474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20</v>
      </c>
      <c r="N64" s="13">
        <f>IF('Données projet'!$A$36&gt;35,N63+M64-V63,IF(A64&lt;'Données projet'!$A$36,$K$205^A64,IF(A64='Données projet'!$A$36,'Données projet'!$B$36,N63+M64-V63)))</f>
        <v>654.00000000000034</v>
      </c>
      <c r="O64" s="13">
        <f>N64*VLOOKUP('Données projet'!$B$9,Paramètres!$A$1:$I$89,3,0)*VLOOKUP('Données projet'!$B$9,Paramètres!$A$1:$I$89,5,0)</f>
        <v>306.07200000000017</v>
      </c>
      <c r="P64" s="13">
        <f t="shared" si="33"/>
        <v>72.447899614029552</v>
      </c>
      <c r="Q64" s="20">
        <f t="shared" si="53"/>
        <v>659.25549182776842</v>
      </c>
      <c r="R64" s="59">
        <f t="shared" si="0"/>
        <v>952.58882516110179</v>
      </c>
      <c r="S64" s="59">
        <f ca="1">AVERAGE(OFFSET($R$3,0,0,'Données projet'!$E$9+1,1))-AVERAGE(OFFSET($H$3,0,0,'Données projet'!$E$9+1,1))</f>
        <v>379.12827535040157</v>
      </c>
      <c r="T64" s="59">
        <f t="shared" si="34"/>
        <v>317.29813413796956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104.53471373146903</v>
      </c>
      <c r="AA64" s="21">
        <f>EXP(-LN(2)/25)*AA63+(1-EXP(-LN(2)/25))/(LN(2)/25)*Calculateur!V64*Calculateur!X64*VLOOKUP('Données projet'!$B$9,Paramètres!$A$1:$I$89,3,0)*0.475*44/12</f>
        <v>18.854448709224393</v>
      </c>
      <c r="AB64" s="21">
        <f>EXP(-LN(2)/2)*AB63+(1-EXP(-LN(2)/2))/(LN(2)/2)*V64*Y64*VLOOKUP('Données projet'!$B$9,Paramètres!$A$1:$I$89,3,0)*0.475*44/12</f>
        <v>9.2905158617685724E-6</v>
      </c>
      <c r="AC64" s="22">
        <f t="shared" si="3"/>
        <v>123.38917173120927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9">
        <f t="shared" si="5"/>
        <v>849.81508155944925</v>
      </c>
      <c r="AN64" s="59">
        <f ca="1">AVERAGE(OFFSET($AM$3,0,0,'Données projet'!$E$10+1,1))-AVERAGE(OFFSET($H$3,0,0,'Données projet'!$E$10+1,1))</f>
        <v>392.48436003609055</v>
      </c>
      <c r="AO64" s="59">
        <f t="shared" si="36"/>
        <v>236.3312446580419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62.869879097458529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62.869879097458529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10.4</v>
      </c>
      <c r="BD64" s="12">
        <f>IF('Données projet'!$A$88&gt;35,BD63+BC64-BL63,IF(A64&lt;'Données projet'!$A$88,$BA$205^A64,IF(A64='Données projet'!$A$88,'Données projet'!$B$88,BD63+BC64-BL63)))</f>
        <v>252.40000000000003</v>
      </c>
      <c r="BE64" s="13">
        <f>BD64*VLOOKUP('Données projet'!$B$11,Paramètres!$A$1:$I$89,3,0)*VLOOKUP('Données projet'!$B$11,Paramètres!$A$1:$I$89,5,0)</f>
        <v>216.55920000000003</v>
      </c>
      <c r="BF64" s="13">
        <f t="shared" si="37"/>
        <v>53.366360125240483</v>
      </c>
      <c r="BG64" s="20">
        <f t="shared" si="7"/>
        <v>470.12035055146049</v>
      </c>
      <c r="BH64" s="59">
        <f t="shared" si="8"/>
        <v>763.4536838847938</v>
      </c>
      <c r="BI64" s="59">
        <f ca="1">AVERAGE(OFFSET($BH$3,0,0,'Données projet'!$E$11+1,1))-AVERAGE(OFFSET($H$3,0,0,'Données projet'!$E$11+1,1))</f>
        <v>352.61091660077574</v>
      </c>
      <c r="BJ64" s="59">
        <f t="shared" si="38"/>
        <v>186.48649111821521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65.569122564970201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65.569122564970201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20</v>
      </c>
      <c r="N65" s="13">
        <f>IF('Données projet'!$A$36&gt;35,N64+M65-V64,IF(A65&lt;'Données projet'!$A$36,$K$205^A65,IF(A65='Données projet'!$A$36,'Données projet'!$B$36,N64+M65-V64)))</f>
        <v>674.00000000000034</v>
      </c>
      <c r="O65" s="13">
        <f>N65*VLOOKUP('Données projet'!$B$9,Paramètres!$A$1:$I$89,3,0)*VLOOKUP('Données projet'!$B$9,Paramètres!$A$1:$I$89,5,0)</f>
        <v>315.43200000000013</v>
      </c>
      <c r="P65" s="13">
        <f t="shared" si="33"/>
        <v>74.402098550585634</v>
      </c>
      <c r="Q65" s="20">
        <f t="shared" si="53"/>
        <v>678.96105497560336</v>
      </c>
      <c r="R65" s="59">
        <f t="shared" si="0"/>
        <v>972.29438830893673</v>
      </c>
      <c r="S65" s="59">
        <f ca="1">AVERAGE(OFFSET($R$3,0,0,'Données projet'!$E$9+1,1))-AVERAGE(OFFSET($H$3,0,0,'Données projet'!$E$9+1,1))</f>
        <v>379.12827535040157</v>
      </c>
      <c r="T65" s="59">
        <f t="shared" si="34"/>
        <v>317.29813413796956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102.48485175507453</v>
      </c>
      <c r="AA65" s="21">
        <f>EXP(-LN(2)/25)*AA64+(1-EXP(-LN(2)/25))/(LN(2)/25)*Calculateur!V65*Calculateur!X65*VLOOKUP('Données projet'!$B$9,Paramètres!$A$1:$I$89,3,0)*0.475*44/12</f>
        <v>18.338872817758286</v>
      </c>
      <c r="AB65" s="21">
        <f>EXP(-LN(2)/2)*AB64+(1-EXP(-LN(2)/2))/(LN(2)/2)*V65*Y65*VLOOKUP('Données projet'!$B$9,Paramètres!$A$1:$I$89,3,0)*0.475*44/12</f>
        <v>6.5693867665777389E-6</v>
      </c>
      <c r="AC65" s="22">
        <f t="shared" si="3"/>
        <v>120.82373114221959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9">
        <f t="shared" si="5"/>
        <v>868.66642561960771</v>
      </c>
      <c r="AN65" s="59">
        <f ca="1">AVERAGE(OFFSET($AM$3,0,0,'Données projet'!$E$10+1,1))-AVERAGE(OFFSET($H$3,0,0,'Données projet'!$E$10+1,1))</f>
        <v>392.48436003609055</v>
      </c>
      <c r="AO65" s="59">
        <f t="shared" si="36"/>
        <v>236.3312446580419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61.637039115197183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61.637039115197183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10.4</v>
      </c>
      <c r="BD65" s="12">
        <f>IF('Données projet'!$A$88&gt;35,BD64+BC65-BL64,IF(A65&lt;'Données projet'!$A$88,$BA$205^A65,IF(A65='Données projet'!$A$88,'Données projet'!$B$88,BD64+BC65-BL64)))</f>
        <v>262.8</v>
      </c>
      <c r="BE65" s="13">
        <f>BD65*VLOOKUP('Données projet'!$B$11,Paramètres!$A$1:$I$89,3,0)*VLOOKUP('Données projet'!$B$11,Paramètres!$A$1:$I$89,5,0)</f>
        <v>225.48240000000004</v>
      </c>
      <c r="BF65" s="13">
        <f t="shared" si="37"/>
        <v>55.304745901414371</v>
      </c>
      <c r="BG65" s="20">
        <f t="shared" si="7"/>
        <v>489.03761244496349</v>
      </c>
      <c r="BH65" s="59">
        <f t="shared" si="8"/>
        <v>782.3709457782968</v>
      </c>
      <c r="BI65" s="59">
        <f ca="1">AVERAGE(OFFSET($BH$3,0,0,'Données projet'!$E$11+1,1))-AVERAGE(OFFSET($H$3,0,0,'Données projet'!$E$11+1,1))</f>
        <v>352.61091660077574</v>
      </c>
      <c r="BJ65" s="59">
        <f t="shared" si="38"/>
        <v>186.48649111821521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64.283352064686895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64.283352064686895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20</v>
      </c>
      <c r="N66" s="13">
        <f>IF('Données projet'!$A$36&gt;35,N65+M66-V65,IF(A66&lt;'Données projet'!$A$36,$K$205^A66,IF(A66='Données projet'!$A$36,'Données projet'!$B$36,N65+M66-V65)))</f>
        <v>694.00000000000034</v>
      </c>
      <c r="O66" s="13">
        <f>N66*VLOOKUP('Données projet'!$B$9,Paramètres!$A$1:$I$89,3,0)*VLOOKUP('Données projet'!$B$9,Paramètres!$A$1:$I$89,5,0)</f>
        <v>324.79200000000014</v>
      </c>
      <c r="P66" s="13">
        <f t="shared" si="33"/>
        <v>76.349558270976516</v>
      </c>
      <c r="Q66" s="20">
        <f t="shared" si="53"/>
        <v>698.65488065528427</v>
      </c>
      <c r="R66" s="59">
        <f t="shared" si="0"/>
        <v>991.98821398861764</v>
      </c>
      <c r="S66" s="59">
        <f ca="1">AVERAGE(OFFSET($R$3,0,0,'Données projet'!$E$9+1,1))-AVERAGE(OFFSET($H$3,0,0,'Données projet'!$E$9+1,1))</f>
        <v>379.12827535040157</v>
      </c>
      <c r="T66" s="59">
        <f t="shared" si="34"/>
        <v>317.29813413796956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100.47518632174479</v>
      </c>
      <c r="AA66" s="21">
        <f>EXP(-LN(2)/25)*AA65+(1-EXP(-LN(2)/25))/(LN(2)/25)*Calculateur!V66*Calculateur!X66*VLOOKUP('Données projet'!$B$9,Paramètres!$A$1:$I$89,3,0)*0.475*44/12</f>
        <v>17.837395376157279</v>
      </c>
      <c r="AB66" s="21">
        <f>EXP(-LN(2)/2)*AB65+(1-EXP(-LN(2)/2))/(LN(2)/2)*V66*Y66*VLOOKUP('Données projet'!$B$9,Paramètres!$A$1:$I$89,3,0)*0.475*44/12</f>
        <v>4.6452579308842862E-6</v>
      </c>
      <c r="AC66" s="22">
        <f t="shared" si="3"/>
        <v>118.31258634315999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887.50488060598741</v>
      </c>
      <c r="AN66" s="59">
        <f ca="1">AVERAGE(OFFSET($AM$3,0,0,'Données projet'!$E$10+1,1))-AVERAGE(OFFSET($H$3,0,0,'Données projet'!$E$10+1,1))</f>
        <v>392.48436003609055</v>
      </c>
      <c r="AO66" s="59">
        <f t="shared" si="36"/>
        <v>236.3312446580419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60.42837437302984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60.42837437302984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10.4</v>
      </c>
      <c r="BD66" s="12">
        <f>IF('Données projet'!$A$88&gt;35,BD65+BC66-BL65,IF(A66&lt;'Données projet'!$A$88,$BA$205^A66,IF(A66='Données projet'!$A$88,'Données projet'!$B$88,BD65+BC66-BL65)))</f>
        <v>273.2</v>
      </c>
      <c r="BE66" s="13">
        <f>BD66*VLOOKUP('Données projet'!$B$11,Paramètres!$A$1:$I$89,3,0)*VLOOKUP('Données projet'!$B$11,Paramètres!$A$1:$I$89,5,0)</f>
        <v>234.40560000000005</v>
      </c>
      <c r="BF66" s="13">
        <f t="shared" si="37"/>
        <v>57.234220788626125</v>
      </c>
      <c r="BG66" s="20">
        <f t="shared" si="7"/>
        <v>507.93935454019061</v>
      </c>
      <c r="BH66" s="59">
        <f t="shared" si="8"/>
        <v>801.27268787352386</v>
      </c>
      <c r="BI66" s="59">
        <f ca="1">AVERAGE(OFFSET($BH$3,0,0,'Données projet'!$E$11+1,1))-AVERAGE(OFFSET($H$3,0,0,'Données projet'!$E$11+1,1))</f>
        <v>352.61091660077574</v>
      </c>
      <c r="BJ66" s="59">
        <f t="shared" si="38"/>
        <v>186.48649111821521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63.022794739671582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63.022794739671582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20</v>
      </c>
      <c r="N67" s="13">
        <f>IF('Données projet'!$A$36&gt;35,N66+M67-V66,IF(A67&lt;'Données projet'!$A$36,$K$205^A67,IF(A67='Données projet'!$A$36,'Données projet'!$B$36,N66+M67-V66)))</f>
        <v>714.00000000000034</v>
      </c>
      <c r="O67" s="13">
        <f>N67*VLOOKUP('Données projet'!$B$9,Paramètres!$A$1:$I$89,3,0)*VLOOKUP('Données projet'!$B$9,Paramètres!$A$1:$I$89,5,0)</f>
        <v>334.15200000000021</v>
      </c>
      <c r="P67" s="13">
        <f t="shared" si="33"/>
        <v>78.2904952928901</v>
      </c>
      <c r="Q67" s="20">
        <f t="shared" ref="Q67:Q98" si="54">(O67+P67)*0.475*44/12</f>
        <v>718.33734596845068</v>
      </c>
      <c r="R67" s="59">
        <f t="shared" ref="R67:R130" si="55">Q67+(I67+J67)*44/12</f>
        <v>1011.670679301784</v>
      </c>
      <c r="S67" s="59">
        <f ca="1">AVERAGE(OFFSET($R$3,0,0,'Données projet'!$E$9+1,1))-AVERAGE(OFFSET($H$3,0,0,'Données projet'!$E$9+1,1))</f>
        <v>379.12827535040157</v>
      </c>
      <c r="T67" s="59">
        <f t="shared" si="34"/>
        <v>317.29813413796956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98.50492920178776</v>
      </c>
      <c r="AA67" s="21">
        <f>EXP(-LN(2)/25)*AA66+(1-EXP(-LN(2)/25))/(LN(2)/25)*Calculateur!V67*Calculateur!X67*VLOOKUP('Données projet'!$B$9,Paramètres!$A$1:$I$89,3,0)*0.475*44/12</f>
        <v>17.349630861568404</v>
      </c>
      <c r="AB67" s="21">
        <f>EXP(-LN(2)/2)*AB66+(1-EXP(-LN(2)/2))/(LN(2)/2)*V67*Y67*VLOOKUP('Données projet'!$B$9,Paramètres!$A$1:$I$89,3,0)*0.475*44/12</f>
        <v>3.2846933832888695E-6</v>
      </c>
      <c r="AC67" s="22">
        <f t="shared" si="3"/>
        <v>115.85456334804954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392.48436003609055</v>
      </c>
      <c r="AO67" s="59">
        <f t="shared" si="36"/>
        <v>236.3312446580419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59.243410809243699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59.243410809243699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10.4</v>
      </c>
      <c r="BD67" s="12">
        <f>IF('Données projet'!$A$88&gt;35,BD66+BC67-BL66,IF(A67&lt;'Données projet'!$A$88,$BA$205^A67,IF(A67='Données projet'!$A$88,'Données projet'!$B$88,BD66+BC67-BL66)))</f>
        <v>283.59999999999997</v>
      </c>
      <c r="BE67" s="13">
        <f>BD67*VLOOKUP('Données projet'!$B$11,Paramètres!$A$1:$I$89,3,0)*VLOOKUP('Données projet'!$B$11,Paramètres!$A$1:$I$89,5,0)</f>
        <v>243.3288</v>
      </c>
      <c r="BF67" s="13">
        <f t="shared" si="37"/>
        <v>59.155162833418565</v>
      </c>
      <c r="BG67" s="20">
        <f t="shared" si="7"/>
        <v>526.82623526820396</v>
      </c>
      <c r="BH67" s="59">
        <f t="shared" si="8"/>
        <v>820.15956860153733</v>
      </c>
      <c r="BI67" s="59">
        <f ca="1">AVERAGE(OFFSET($BH$3,0,0,'Données projet'!$E$11+1,1))-AVERAGE(OFFSET($H$3,0,0,'Données projet'!$E$11+1,1))</f>
        <v>352.61091660077574</v>
      </c>
      <c r="BJ67" s="59">
        <f t="shared" si="38"/>
        <v>186.48649111821521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61.786956174935767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61.786956174935767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734</v>
      </c>
      <c r="L68" s="12">
        <f>VLOOKUP(A68,'Données projet'!$A$35:$I$55,9,0)</f>
        <v>20</v>
      </c>
      <c r="M68" s="12">
        <f t="array" ref="M68">INDEX(L:L,MIN(IF(ISNUMBER(L68:L264),ROW(L68:L264),"")))</f>
        <v>20</v>
      </c>
      <c r="N68" s="13">
        <f>IF('Données projet'!$A$36&gt;35,N67+M68-V67,IF(A68&lt;'Données projet'!$A$36,$K$205^A68,IF(A68='Données projet'!$A$36,'Données projet'!$B$36,N67+M68-V67)))</f>
        <v>734.00000000000034</v>
      </c>
      <c r="O68" s="13">
        <f>N68*VLOOKUP('Données projet'!$B$9,Paramètres!$A$1:$I$89,3,0)*VLOOKUP('Données projet'!$B$9,Paramètres!$A$1:$I$89,5,0)</f>
        <v>343.51200000000017</v>
      </c>
      <c r="P68" s="13">
        <f t="shared" si="33"/>
        <v>80.225113314048286</v>
      </c>
      <c r="Q68" s="20">
        <f t="shared" si="54"/>
        <v>738.00880568863431</v>
      </c>
      <c r="R68" s="59">
        <f t="shared" si="55"/>
        <v>1031.3421390219676</v>
      </c>
      <c r="S68" s="59">
        <f ca="1">AVERAGE(OFFSET($R$3,0,0,'Données projet'!$E$9+1,1))-AVERAGE(OFFSET($H$3,0,0,'Données projet'!$E$9+1,1))</f>
        <v>379.12827535040157</v>
      </c>
      <c r="T68" s="59">
        <f t="shared" si="34"/>
        <v>317.29813413796956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52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114.32910754538206</v>
      </c>
      <c r="AA68" s="21">
        <f>EXP(-LN(2)/25)*AA67+(1-EXP(-LN(2)/25))/(LN(2)/25)*Calculateur!V68*Calculateur!X68*VLOOKUP('Données projet'!$B$9,Paramètres!$A$1:$I$89,3,0)*0.475*44/12</f>
        <v>16.875204293281381</v>
      </c>
      <c r="AB68" s="21">
        <f>EXP(-LN(2)/2)*AB67+(1-EXP(-LN(2)/2))/(LN(2)/2)*V68*Y68*VLOOKUP('Données projet'!$B$9,Paramètres!$A$1:$I$89,3,0)*0.475*44/12</f>
        <v>2.3226289654421431E-6</v>
      </c>
      <c r="AC68" s="22">
        <f t="shared" ref="AC68:AC131" si="57">SUM(Z68:AB68)</f>
        <v>131.20431416129242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392.48436003609055</v>
      </c>
      <c r="AO68" s="59">
        <f t="shared" si="36"/>
        <v>236.3312446580419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71.577885114937786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71.577885114937786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294</v>
      </c>
      <c r="BB68" s="12">
        <f>VLOOKUP(A68,'Données projet'!$A$87:$I$107,9,0)</f>
        <v>10.4</v>
      </c>
      <c r="BC68" s="12">
        <f t="array" ref="BC68">INDEX(BB:BB,MIN(IF(ISNUMBER(BB68:BB264),ROW(BB68:BB264),"")))</f>
        <v>10.4</v>
      </c>
      <c r="BD68" s="12">
        <f>IF('Données projet'!$A$88&gt;35,BD67+BC68-BL67,IF(A68&lt;'Données projet'!$A$88,$BA$205^A68,IF(A68='Données projet'!$A$88,'Données projet'!$B$88,BD67+BC68-BL67)))</f>
        <v>293.99999999999994</v>
      </c>
      <c r="BE68" s="13">
        <f>BD68*VLOOKUP('Données projet'!$B$11,Paramètres!$A$1:$I$89,3,0)*VLOOKUP('Données projet'!$B$11,Paramètres!$A$1:$I$89,5,0)</f>
        <v>252.25199999999998</v>
      </c>
      <c r="BF68" s="13">
        <f t="shared" si="37"/>
        <v>61.067920784150822</v>
      </c>
      <c r="BG68" s="20">
        <f t="shared" ref="BG68:BG131" si="61">(BE68+BF68)*0.475*44/12</f>
        <v>545.69886203239594</v>
      </c>
      <c r="BH68" s="59">
        <f t="shared" ref="BH68:BH131" si="62">BG68+(AY68+AZ68)*44/12</f>
        <v>839.03219536572919</v>
      </c>
      <c r="BI68" s="59">
        <f ca="1">AVERAGE(OFFSET($BH$3,0,0,'Données projet'!$E$11+1,1))-AVERAGE(OFFSET($H$3,0,0,'Données projet'!$E$11+1,1))</f>
        <v>352.61091660077574</v>
      </c>
      <c r="BJ68" s="59">
        <f t="shared" si="38"/>
        <v>186.48649111821521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74.650996461554115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74.650996461554115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18.2</v>
      </c>
      <c r="N69" s="13">
        <f>IF('Données projet'!$A$36&gt;35,N68+M69-V68,IF(A69&lt;'Données projet'!$A$36,$K$205^A69,IF(A69='Données projet'!$A$36,'Données projet'!$B$36,N68+M69-V68)))</f>
        <v>700.20000000000039</v>
      </c>
      <c r="O69" s="13">
        <f>N69*VLOOKUP('Données projet'!$B$9,Paramètres!$A$1:$I$89,3,0)*VLOOKUP('Données projet'!$B$9,Paramètres!$A$1:$I$89,5,0)</f>
        <v>327.69360000000017</v>
      </c>
      <c r="P69" s="13">
        <f t="shared" ref="P69:P132" si="87">EXP(-1.0587+0.8836*LN(O69)+0.284)</f>
        <v>76.951936594861991</v>
      </c>
      <c r="Q69" s="20">
        <f t="shared" si="54"/>
        <v>704.7576429027182</v>
      </c>
      <c r="R69" s="59">
        <f t="shared" si="55"/>
        <v>998.09097623605157</v>
      </c>
      <c r="S69" s="59">
        <f ca="1">AVERAGE(OFFSET($R$3,0,0,'Données projet'!$E$9+1,1))-AVERAGE(OFFSET($H$3,0,0,'Données projet'!$E$9+1,1))</f>
        <v>379.12827535040157</v>
      </c>
      <c r="T69" s="59">
        <f t="shared" ref="T69:T132" si="88">$T$3</f>
        <v>317.29813413796956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112.08718348028707</v>
      </c>
      <c r="AA69" s="21">
        <f>EXP(-LN(2)/25)*AA68+(1-EXP(-LN(2)/25))/(LN(2)/25)*Calculateur!V69*Calculateur!X69*VLOOKUP('Données projet'!$B$9,Paramètres!$A$1:$I$89,3,0)*0.475*44/12</f>
        <v>16.413750944453177</v>
      </c>
      <c r="AB69" s="21">
        <f>EXP(-LN(2)/2)*AB68+(1-EXP(-LN(2)/2))/(LN(2)/2)*V69*Y69*VLOOKUP('Données projet'!$B$9,Paramètres!$A$1:$I$89,3,0)*0.475*44/12</f>
        <v>1.6423466916444347E-6</v>
      </c>
      <c r="AC69" s="22">
        <f t="shared" si="57"/>
        <v>128.50093606708694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392.48436003609055</v>
      </c>
      <c r="AO69" s="59">
        <f t="shared" ref="AO69:AO132" si="90">$AO$3</f>
        <v>236.3312446580419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70.17428644603288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70.17428644603288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</v>
      </c>
      <c r="BD69" s="12">
        <f>IF('Données projet'!$A$88&gt;35,BD68+BC69-BL68,IF(A69&lt;'Données projet'!$A$88,$BA$205^A69,IF(A69='Données projet'!$A$88,'Données projet'!$B$88,BD68+BC69-BL68)))</f>
        <v>275.99999999999994</v>
      </c>
      <c r="BE69" s="13">
        <f>BD69*VLOOKUP('Données projet'!$B$11,Paramètres!$A$1:$I$89,3,0)*VLOOKUP('Données projet'!$B$11,Paramètres!$A$1:$I$89,5,0)</f>
        <v>236.80799999999999</v>
      </c>
      <c r="BF69" s="13">
        <f t="shared" ref="BF69:BF132" si="91">EXP(-1.0587+0.8836*LN(BE69)+0.284)</f>
        <v>57.752221878398714</v>
      </c>
      <c r="BG69" s="20">
        <f t="shared" si="61"/>
        <v>513.02571977154435</v>
      </c>
      <c r="BH69" s="59">
        <f t="shared" si="62"/>
        <v>806.3590531048776</v>
      </c>
      <c r="BI69" s="59">
        <f ca="1">AVERAGE(OFFSET($BH$3,0,0,'Données projet'!$E$11+1,1))-AVERAGE(OFFSET($H$3,0,0,'Données projet'!$E$11+1,1))</f>
        <v>352.61091660077574</v>
      </c>
      <c r="BJ69" s="59">
        <f t="shared" ref="BJ69:BJ132" si="92">$BJ$3</f>
        <v>186.48649111821521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73.187135953554915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73.187135953554915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18.2</v>
      </c>
      <c r="N70" s="13">
        <f>IF('Données projet'!$A$36&gt;35,N69+M70-V69,IF(A70&lt;'Données projet'!$A$36,$K$205^A70,IF(A70='Données projet'!$A$36,'Données projet'!$B$36,N69+M70-V69)))</f>
        <v>718.40000000000043</v>
      </c>
      <c r="O70" s="13">
        <f>N70*VLOOKUP('Données projet'!$B$9,Paramètres!$A$1:$I$89,3,0)*VLOOKUP('Données projet'!$B$9,Paramètres!$A$1:$I$89,5,0)</f>
        <v>336.21120000000019</v>
      </c>
      <c r="P70" s="13">
        <f t="shared" si="87"/>
        <v>78.716646554623011</v>
      </c>
      <c r="Q70" s="20">
        <f t="shared" si="54"/>
        <v>722.66599941596871</v>
      </c>
      <c r="R70" s="59">
        <f t="shared" si="55"/>
        <v>1015.9993327493021</v>
      </c>
      <c r="S70" s="59">
        <f ca="1">AVERAGE(OFFSET($R$3,0,0,'Données projet'!$E$9+1,1))-AVERAGE(OFFSET($H$3,0,0,'Données projet'!$E$9+1,1))</f>
        <v>379.12827535040157</v>
      </c>
      <c r="T70" s="59">
        <f t="shared" si="88"/>
        <v>317.29813413796956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109.88922217866994</v>
      </c>
      <c r="AA70" s="21">
        <f>EXP(-LN(2)/25)*AA69+(1-EXP(-LN(2)/25))/(LN(2)/25)*Calculateur!V70*Calculateur!X70*VLOOKUP('Données projet'!$B$9,Paramètres!$A$1:$I$89,3,0)*0.475*44/12</f>
        <v>15.964916061715456</v>
      </c>
      <c r="AB70" s="21">
        <f>EXP(-LN(2)/2)*AB69+(1-EXP(-LN(2)/2))/(LN(2)/2)*V70*Y70*VLOOKUP('Données projet'!$B$9,Paramètres!$A$1:$I$89,3,0)*0.475*44/12</f>
        <v>1.1613144827210715E-6</v>
      </c>
      <c r="AC70" s="22">
        <f t="shared" si="57"/>
        <v>125.85413940169988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9">
        <f t="shared" si="59"/>
        <v>900.34213188128092</v>
      </c>
      <c r="AN70" s="59">
        <f ca="1">AVERAGE(OFFSET($AM$3,0,0,'Données projet'!$E$10+1,1))-AVERAGE(OFFSET($H$3,0,0,'Données projet'!$E$10+1,1))</f>
        <v>392.48436003609055</v>
      </c>
      <c r="AO70" s="59">
        <f t="shared" si="90"/>
        <v>236.3312446580419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68.798211490914554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68.798211490914554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</v>
      </c>
      <c r="BD70" s="12">
        <f>IF('Données projet'!$A$88&gt;35,BD69+BC70-BL69,IF(A70&lt;'Données projet'!$A$88,$BA$205^A70,IF(A70='Données projet'!$A$88,'Données projet'!$B$88,BD69+BC70-BL69)))</f>
        <v>285.99999999999994</v>
      </c>
      <c r="BE70" s="13">
        <f>BD70*VLOOKUP('Données projet'!$B$11,Paramètres!$A$1:$I$89,3,0)*VLOOKUP('Données projet'!$B$11,Paramètres!$A$1:$I$89,5,0)</f>
        <v>245.38799999999998</v>
      </c>
      <c r="BF70" s="13">
        <f t="shared" si="91"/>
        <v>59.597282764919569</v>
      </c>
      <c r="BG70" s="20">
        <f t="shared" si="61"/>
        <v>531.18270081556818</v>
      </c>
      <c r="BH70" s="59">
        <f t="shared" si="62"/>
        <v>824.51603414890155</v>
      </c>
      <c r="BI70" s="59">
        <f ca="1">AVERAGE(OFFSET($BH$3,0,0,'Données projet'!$E$11+1,1))-AVERAGE(OFFSET($H$3,0,0,'Données projet'!$E$11+1,1))</f>
        <v>352.61091660077574</v>
      </c>
      <c r="BJ70" s="59">
        <f t="shared" si="92"/>
        <v>186.48649111821521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71.751980857250828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71.751980857250828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18.2</v>
      </c>
      <c r="N71" s="13">
        <f>IF('Données projet'!$A$36&gt;35,N70+M71-V70,IF(A71&lt;'Données projet'!$A$36,$K$205^A71,IF(A71='Données projet'!$A$36,'Données projet'!$B$36,N70+M71-V70)))</f>
        <v>736.60000000000048</v>
      </c>
      <c r="O71" s="13">
        <f>N71*VLOOKUP('Données projet'!$B$9,Paramètres!$A$1:$I$89,3,0)*VLOOKUP('Données projet'!$B$9,Paramètres!$A$1:$I$89,5,0)</f>
        <v>344.72880000000021</v>
      </c>
      <c r="P71" s="13">
        <f t="shared" si="87"/>
        <v>80.476159663038771</v>
      </c>
      <c r="Q71" s="20">
        <f t="shared" si="54"/>
        <v>740.56530474645945</v>
      </c>
      <c r="R71" s="59">
        <f t="shared" si="55"/>
        <v>1033.8986380797928</v>
      </c>
      <c r="S71" s="59">
        <f ca="1">AVERAGE(OFFSET($R$3,0,0,'Données projet'!$E$9+1,1))-AVERAGE(OFFSET($H$3,0,0,'Données projet'!$E$9+1,1))</f>
        <v>379.12827535040157</v>
      </c>
      <c r="T71" s="59">
        <f t="shared" si="88"/>
        <v>317.29813413796956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107.7343615575535</v>
      </c>
      <c r="AA71" s="21">
        <f>EXP(-LN(2)/25)*AA70+(1-EXP(-LN(2)/25))/(LN(2)/25)*Calculateur!V71*Calculateur!X71*VLOOKUP('Données projet'!$B$9,Paramètres!$A$1:$I$89,3,0)*0.475*44/12</f>
        <v>15.5283545924494</v>
      </c>
      <c r="AB71" s="21">
        <f>EXP(-LN(2)/2)*AB70+(1-EXP(-LN(2)/2))/(LN(2)/2)*V71*Y71*VLOOKUP('Données projet'!$B$9,Paramètres!$A$1:$I$89,3,0)*0.475*44/12</f>
        <v>8.2117334582221737E-7</v>
      </c>
      <c r="AC71" s="22">
        <f t="shared" si="57"/>
        <v>123.26271697117625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917.87728819466042</v>
      </c>
      <c r="AN71" s="59">
        <f ca="1">AVERAGE(OFFSET($AM$3,0,0,'Données projet'!$E$10+1,1))-AVERAGE(OFFSET($H$3,0,0,'Données projet'!$E$10+1,1))</f>
        <v>392.48436003609055</v>
      </c>
      <c r="AO71" s="59">
        <f t="shared" si="90"/>
        <v>236.3312446580419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67.449120526343251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67.449120526343251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</v>
      </c>
      <c r="BD71" s="12">
        <f>IF('Données projet'!$A$88&gt;35,BD70+BC71-BL70,IF(A71&lt;'Données projet'!$A$88,$BA$205^A71,IF(A71='Données projet'!$A$88,'Données projet'!$B$88,BD70+BC71-BL70)))</f>
        <v>295.99999999999994</v>
      </c>
      <c r="BE71" s="13">
        <f>BD71*VLOOKUP('Données projet'!$B$11,Paramètres!$A$1:$I$89,3,0)*VLOOKUP('Données projet'!$B$11,Paramètres!$A$1:$I$89,5,0)</f>
        <v>253.96799999999999</v>
      </c>
      <c r="BF71" s="13">
        <f t="shared" si="91"/>
        <v>61.434848029666512</v>
      </c>
      <c r="BG71" s="20">
        <f t="shared" si="61"/>
        <v>549.32662698500246</v>
      </c>
      <c r="BH71" s="59">
        <f t="shared" si="62"/>
        <v>842.65996031833583</v>
      </c>
      <c r="BI71" s="59">
        <f ca="1">AVERAGE(OFFSET($BH$3,0,0,'Données projet'!$E$11+1,1))-AVERAGE(OFFSET($H$3,0,0,'Données projet'!$E$11+1,1))</f>
        <v>352.61091660077574</v>
      </c>
      <c r="BJ71" s="59">
        <f t="shared" si="92"/>
        <v>186.48649111821521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70.344968277027093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70.344968277027093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18.2</v>
      </c>
      <c r="N72" s="13">
        <f>IF('Données projet'!$A$36&gt;35,N71+M72-V71,IF(A72&lt;'Données projet'!$A$36,$K$205^A72,IF(A72='Données projet'!$A$36,'Données projet'!$B$36,N71+M72-V71)))</f>
        <v>754.80000000000052</v>
      </c>
      <c r="O72" s="13">
        <f>N72*VLOOKUP('Données projet'!$B$9,Paramètres!$A$1:$I$89,3,0)*VLOOKUP('Données projet'!$B$9,Paramètres!$A$1:$I$89,5,0)</f>
        <v>353.24640000000022</v>
      </c>
      <c r="P72" s="13">
        <f t="shared" si="87"/>
        <v>82.230619094326016</v>
      </c>
      <c r="Q72" s="20">
        <f t="shared" si="54"/>
        <v>758.45580825595152</v>
      </c>
      <c r="R72" s="59">
        <f t="shared" si="55"/>
        <v>1051.7891415892848</v>
      </c>
      <c r="S72" s="59">
        <f ca="1">AVERAGE(OFFSET($R$3,0,0,'Données projet'!$E$9+1,1))-AVERAGE(OFFSET($H$3,0,0,'Données projet'!$E$9+1,1))</f>
        <v>379.12827535040157</v>
      </c>
      <c r="T72" s="59">
        <f t="shared" si="88"/>
        <v>317.29813413796956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105.62175643888196</v>
      </c>
      <c r="AA72" s="21">
        <f>EXP(-LN(2)/25)*AA71+(1-EXP(-LN(2)/25))/(LN(2)/25)*Calculateur!V72*Calculateur!X72*VLOOKUP('Données projet'!$B$9,Paramètres!$A$1:$I$89,3,0)*0.475*44/12</f>
        <v>15.103730919518194</v>
      </c>
      <c r="AB72" s="21">
        <f>EXP(-LN(2)/2)*AB71+(1-EXP(-LN(2)/2))/(LN(2)/2)*V72*Y72*VLOOKUP('Données projet'!$B$9,Paramètres!$A$1:$I$89,3,0)*0.475*44/12</f>
        <v>5.8065724136053577E-7</v>
      </c>
      <c r="AC72" s="22">
        <f t="shared" si="57"/>
        <v>120.7254879390574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9">
        <f t="shared" si="59"/>
        <v>935.40225505936314</v>
      </c>
      <c r="AN72" s="59">
        <f ca="1">AVERAGE(OFFSET($AM$3,0,0,'Données projet'!$E$10+1,1))-AVERAGE(OFFSET($H$3,0,0,'Données projet'!$E$10+1,1))</f>
        <v>392.48436003609055</v>
      </c>
      <c r="AO72" s="59">
        <f t="shared" si="90"/>
        <v>236.3312446580419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66.126484412722959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66.126484412722959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</v>
      </c>
      <c r="BD72" s="12">
        <f>IF('Données projet'!$A$88&gt;35,BD71+BC72-BL71,IF(A72&lt;'Données projet'!$A$88,$BA$205^A72,IF(A72='Données projet'!$A$88,'Données projet'!$B$88,BD71+BC72-BL71)))</f>
        <v>305.99999999999994</v>
      </c>
      <c r="BE72" s="13">
        <f>BD72*VLOOKUP('Données projet'!$B$11,Paramètres!$A$1:$I$89,3,0)*VLOOKUP('Données projet'!$B$11,Paramètres!$A$1:$I$89,5,0)</f>
        <v>262.548</v>
      </c>
      <c r="BF72" s="13">
        <f t="shared" si="91"/>
        <v>63.265199933079444</v>
      </c>
      <c r="BG72" s="20">
        <f t="shared" si="61"/>
        <v>567.45798988344666</v>
      </c>
      <c r="BH72" s="59">
        <f t="shared" si="62"/>
        <v>860.79132321678003</v>
      </c>
      <c r="BI72" s="59">
        <f ca="1">AVERAGE(OFFSET($BH$3,0,0,'Données projet'!$E$11+1,1))-AVERAGE(OFFSET($H$3,0,0,'Données projet'!$E$11+1,1))</f>
        <v>352.61091660077574</v>
      </c>
      <c r="BJ72" s="59">
        <f t="shared" si="92"/>
        <v>186.48649111821521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68.965546355308604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68.965546355308604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773</v>
      </c>
      <c r="L73" s="12">
        <f>VLOOKUP(A73,'Données projet'!$A$35:$I$55,9,0)</f>
        <v>18.2</v>
      </c>
      <c r="M73" s="12">
        <f t="array" ref="M73">INDEX(L:L,MIN(IF(ISNUMBER(L73:L269),ROW(L73:L269),"")))</f>
        <v>18.2</v>
      </c>
      <c r="N73" s="13">
        <f>IF('Données projet'!$A$36&gt;35,N72+M73-V72,IF(A73&lt;'Données projet'!$A$36,$K$205^A73,IF(A73='Données projet'!$A$36,'Données projet'!$B$36,N72+M73-V72)))</f>
        <v>773.00000000000057</v>
      </c>
      <c r="O73" s="13">
        <f>N73*VLOOKUP('Données projet'!$B$9,Paramètres!$A$1:$I$89,3,0)*VLOOKUP('Données projet'!$B$9,Paramètres!$A$1:$I$89,5,0)</f>
        <v>361.76400000000029</v>
      </c>
      <c r="P73" s="13">
        <f t="shared" si="87"/>
        <v>83.980160724438363</v>
      </c>
      <c r="Q73" s="20">
        <f t="shared" si="54"/>
        <v>776.33774659506389</v>
      </c>
      <c r="R73" s="59">
        <f t="shared" si="55"/>
        <v>1069.6710799283971</v>
      </c>
      <c r="S73" s="59">
        <f ca="1">AVERAGE(OFFSET($R$3,0,0,'Données projet'!$E$9+1,1))-AVERAGE(OFFSET($H$3,0,0,'Données projet'!$E$9+1,1))</f>
        <v>379.12827535040157</v>
      </c>
      <c r="T73" s="59">
        <f t="shared" si="88"/>
        <v>317.29813413796956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49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120.28200506870242</v>
      </c>
      <c r="AA73" s="21">
        <f>EXP(-LN(2)/25)*AA72+(1-EXP(-LN(2)/25))/(LN(2)/25)*Calculateur!V73*Calculateur!X73*VLOOKUP('Données projet'!$B$9,Paramètres!$A$1:$I$89,3,0)*0.475*44/12</f>
        <v>14.690718603253279</v>
      </c>
      <c r="AB73" s="21">
        <f>EXP(-LN(2)/2)*AB72+(1-EXP(-LN(2)/2))/(LN(2)/2)*V73*Y73*VLOOKUP('Données projet'!$B$9,Paramètres!$A$1:$I$89,3,0)*0.475*44/12</f>
        <v>4.1058667291110868E-7</v>
      </c>
      <c r="AC73" s="22">
        <f t="shared" si="57"/>
        <v>134.97272408254236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9">
        <f t="shared" si="59"/>
        <v>952.91734953545892</v>
      </c>
      <c r="AN73" s="59">
        <f ca="1">AVERAGE(OFFSET($AM$3,0,0,'Données projet'!$E$10+1,1))-AVERAGE(OFFSET($H$3,0,0,'Données projet'!$E$10+1,1))</f>
        <v>392.48436003609055</v>
      </c>
      <c r="AO73" s="59">
        <f t="shared" si="90"/>
        <v>236.3312446580419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78.325985843313177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78.325985843313177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10</v>
      </c>
      <c r="BC73" s="12">
        <f t="array" ref="BC73">INDEX(BB:BB,MIN(IF(ISNUMBER(BB73:BB269),ROW(BB73:BB269),"")))</f>
        <v>10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271.12799999999999</v>
      </c>
      <c r="BF73" s="13">
        <f t="shared" si="91"/>
        <v>65.088601240045278</v>
      </c>
      <c r="BG73" s="20">
        <f t="shared" si="61"/>
        <v>585.57724715974553</v>
      </c>
      <c r="BH73" s="59">
        <f t="shared" si="62"/>
        <v>878.9105804930789</v>
      </c>
      <c r="BI73" s="59">
        <f ca="1">AVERAGE(OFFSET($BH$3,0,0,'Données projet'!$E$11+1,1))-AVERAGE(OFFSET($H$3,0,0,'Données projet'!$E$11+1,1))</f>
        <v>352.61091660077574</v>
      </c>
      <c r="BJ73" s="59">
        <f t="shared" si="92"/>
        <v>186.48649111821521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81.688818866997508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81.688818866997508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741.00000000000057</v>
      </c>
      <c r="O74" s="13">
        <f>N74*VLOOKUP('Données projet'!$B$9,Paramètres!$A$1:$I$89,3,0)*VLOOKUP('Données projet'!$B$9,Paramètres!$A$1:$I$89,5,0)</f>
        <v>346.7880000000003</v>
      </c>
      <c r="P74" s="13">
        <f t="shared" si="87"/>
        <v>80.900772615791055</v>
      </c>
      <c r="Q74" s="20">
        <f t="shared" si="54"/>
        <v>744.89127897250319</v>
      </c>
      <c r="R74" s="59">
        <f t="shared" si="55"/>
        <v>1038.2246123058364</v>
      </c>
      <c r="S74" s="59">
        <f ca="1">AVERAGE(OFFSET($R$3,0,0,'Données projet'!$E$9+1,1))-AVERAGE(OFFSET($H$3,0,0,'Données projet'!$E$9+1,1))</f>
        <v>379.12827535040157</v>
      </c>
      <c r="T74" s="59">
        <f t="shared" si="88"/>
        <v>317.29813413796956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117.92334831408408</v>
      </c>
      <c r="AA74" s="21">
        <f>EXP(-LN(2)/25)*AA73+(1-EXP(-LN(2)/25))/(LN(2)/25)*Calculateur!V74*Calculateur!X74*VLOOKUP('Données projet'!$B$9,Paramètres!$A$1:$I$89,3,0)*0.475*44/12</f>
        <v>14.289000130496003</v>
      </c>
      <c r="AB74" s="21">
        <f>EXP(-LN(2)/2)*AB73+(1-EXP(-LN(2)/2))/(LN(2)/2)*V74*Y74*VLOOKUP('Données projet'!$B$9,Paramètres!$A$1:$I$89,3,0)*0.475*44/12</f>
        <v>2.9032862068026789E-7</v>
      </c>
      <c r="AC74" s="22">
        <f t="shared" si="57"/>
        <v>132.21234873490869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9">
        <f t="shared" si="59"/>
        <v>909.32484671952011</v>
      </c>
      <c r="AN74" s="59">
        <f ca="1">AVERAGE(OFFSET($AM$3,0,0,'Données projet'!$E$10+1,1))-AVERAGE(OFFSET($H$3,0,0,'Données projet'!$E$10+1,1))</f>
        <v>392.48436003609055</v>
      </c>
      <c r="AO74" s="59">
        <f t="shared" si="90"/>
        <v>236.3312446580419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76.790061035059864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76.790061035059864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9.4</v>
      </c>
      <c r="BD74" s="12">
        <f>IF('Données projet'!$A$88&gt;35,BD73+BC74-BL73,IF(A74&lt;'Données projet'!$A$88,$BA$205^A74,IF(A74='Données projet'!$A$88,'Données projet'!$B$88,BD73+BC74-BL73)))</f>
        <v>297.39999999999992</v>
      </c>
      <c r="BE74" s="13">
        <f>BD74*VLOOKUP('Données projet'!$B$11,Paramètres!$A$1:$I$89,3,0)*VLOOKUP('Données projet'!$B$11,Paramètres!$A$1:$I$89,5,0)</f>
        <v>255.16919999999996</v>
      </c>
      <c r="BF74" s="13">
        <f t="shared" si="91"/>
        <v>61.691525331424884</v>
      </c>
      <c r="BG74" s="20">
        <f t="shared" si="61"/>
        <v>551.86576328556498</v>
      </c>
      <c r="BH74" s="59">
        <f t="shared" si="62"/>
        <v>845.19909661889824</v>
      </c>
      <c r="BI74" s="59">
        <f ca="1">AVERAGE(OFFSET($BH$3,0,0,'Données projet'!$E$11+1,1))-AVERAGE(OFFSET($H$3,0,0,'Données projet'!$E$11+1,1))</f>
        <v>352.61091660077574</v>
      </c>
      <c r="BJ74" s="59">
        <f t="shared" si="92"/>
        <v>186.48649111821521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80.086950954275366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80.086950954275366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758.00000000000057</v>
      </c>
      <c r="O75" s="13">
        <f>N75*VLOOKUP('Données projet'!$B$9,Paramètres!$A$1:$I$89,3,0)*VLOOKUP('Données projet'!$B$9,Paramètres!$A$1:$I$89,5,0)</f>
        <v>354.74400000000031</v>
      </c>
      <c r="P75" s="13">
        <f t="shared" si="87"/>
        <v>82.538583377590484</v>
      </c>
      <c r="Q75" s="20">
        <f t="shared" si="54"/>
        <v>761.60049938263728</v>
      </c>
      <c r="R75" s="59">
        <f t="shared" si="55"/>
        <v>1054.9338327159705</v>
      </c>
      <c r="S75" s="59">
        <f ca="1">AVERAGE(OFFSET($R$3,0,0,'Données projet'!$E$9+1,1))-AVERAGE(OFFSET($H$3,0,0,'Données projet'!$E$9+1,1))</f>
        <v>379.12827535040157</v>
      </c>
      <c r="T75" s="59">
        <f t="shared" si="88"/>
        <v>317.29813413796956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115.61094337978524</v>
      </c>
      <c r="AA75" s="21">
        <f>EXP(-LN(2)/25)*AA74+(1-EXP(-LN(2)/25))/(LN(2)/25)*Calculateur!V75*Calculateur!X75*VLOOKUP('Données projet'!$B$9,Paramètres!$A$1:$I$89,3,0)*0.475*44/12</f>
        <v>13.89826667050173</v>
      </c>
      <c r="AB75" s="21">
        <f>EXP(-LN(2)/2)*AB74+(1-EXP(-LN(2)/2))/(LN(2)/2)*V75*Y75*VLOOKUP('Données projet'!$B$9,Paramètres!$A$1:$I$89,3,0)*0.475*44/12</f>
        <v>2.0529333645555434E-7</v>
      </c>
      <c r="AC75" s="22">
        <f t="shared" si="57"/>
        <v>129.50921025558031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9">
        <f t="shared" si="59"/>
        <v>925.57241165889513</v>
      </c>
      <c r="AN75" s="59">
        <f ca="1">AVERAGE(OFFSET($AM$3,0,0,'Données projet'!$E$10+1,1))-AVERAGE(OFFSET($H$3,0,0,'Données projet'!$E$10+1,1))</f>
        <v>392.48436003609055</v>
      </c>
      <c r="AO75" s="59">
        <f t="shared" si="90"/>
        <v>236.3312446580419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75.284254775474764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75.284254775474764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9.4</v>
      </c>
      <c r="BD75" s="12">
        <f>IF('Données projet'!$A$88&gt;35,BD74+BC75-BL74,IF(A75&lt;'Données projet'!$A$88,$BA$205^A75,IF(A75='Données projet'!$A$88,'Données projet'!$B$88,BD74+BC75-BL74)))</f>
        <v>306.7999999999999</v>
      </c>
      <c r="BE75" s="13">
        <f>BD75*VLOOKUP('Données projet'!$B$11,Paramètres!$A$1:$I$89,3,0)*VLOOKUP('Données projet'!$B$11,Paramètres!$A$1:$I$89,5,0)</f>
        <v>263.23439999999994</v>
      </c>
      <c r="BF75" s="13">
        <f t="shared" si="91"/>
        <v>63.411324464279403</v>
      </c>
      <c r="BG75" s="20">
        <f t="shared" si="61"/>
        <v>568.90797010861979</v>
      </c>
      <c r="BH75" s="59">
        <f t="shared" si="62"/>
        <v>862.24130344195305</v>
      </c>
      <c r="BI75" s="59">
        <f ca="1">AVERAGE(OFFSET($BH$3,0,0,'Données projet'!$E$11+1,1))-AVERAGE(OFFSET($H$3,0,0,'Données projet'!$E$11+1,1))</f>
        <v>352.61091660077574</v>
      </c>
      <c r="BJ75" s="59">
        <f t="shared" si="92"/>
        <v>186.48649111821521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78.516494694278748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78.516494694278748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775.00000000000057</v>
      </c>
      <c r="O76" s="13">
        <f>N76*VLOOKUP('Données projet'!$B$9,Paramètres!$A$1:$I$89,3,0)*VLOOKUP('Données projet'!$B$9,Paramètres!$A$1:$I$89,5,0)</f>
        <v>362.70000000000022</v>
      </c>
      <c r="P76" s="13">
        <f t="shared" si="87"/>
        <v>84.172123743406843</v>
      </c>
      <c r="Q76" s="20">
        <f t="shared" si="54"/>
        <v>778.3022821864339</v>
      </c>
      <c r="R76" s="59">
        <f t="shared" si="55"/>
        <v>1071.6356155197673</v>
      </c>
      <c r="S76" s="59">
        <f ca="1">AVERAGE(OFFSET($R$3,0,0,'Données projet'!$E$9+1,1))-AVERAGE(OFFSET($H$3,0,0,'Données projet'!$E$9+1,1))</f>
        <v>379.12827535040157</v>
      </c>
      <c r="T76" s="59">
        <f t="shared" si="88"/>
        <v>317.29813413796956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113.34388329582026</v>
      </c>
      <c r="AA76" s="21">
        <f>EXP(-LN(2)/25)*AA75+(1-EXP(-LN(2)/25))/(LN(2)/25)*Calculateur!V76*Calculateur!X76*VLOOKUP('Données projet'!$B$9,Paramètres!$A$1:$I$89,3,0)*0.475*44/12</f>
        <v>13.518217837518781</v>
      </c>
      <c r="AB76" s="21">
        <f>EXP(-LN(2)/2)*AB75+(1-EXP(-LN(2)/2))/(LN(2)/2)*V76*Y76*VLOOKUP('Données projet'!$B$9,Paramètres!$A$1:$I$89,3,0)*0.475*44/12</f>
        <v>1.4516431034013394E-7</v>
      </c>
      <c r="AC76" s="22">
        <f t="shared" si="57"/>
        <v>126.86210127850335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9">
        <f t="shared" si="59"/>
        <v>941.81134551289847</v>
      </c>
      <c r="AN76" s="59">
        <f ca="1">AVERAGE(OFFSET($AM$3,0,0,'Données projet'!$E$10+1,1))-AVERAGE(OFFSET($H$3,0,0,'Données projet'!$E$10+1,1))</f>
        <v>392.48436003609055</v>
      </c>
      <c r="AO76" s="59">
        <f t="shared" si="90"/>
        <v>236.3312446580419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73.807976458189003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73.807976458189003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9.4</v>
      </c>
      <c r="BD76" s="12">
        <f>IF('Données projet'!$A$88&gt;35,BD75+BC76-BL75,IF(A76&lt;'Données projet'!$A$88,$BA$205^A76,IF(A76='Données projet'!$A$88,'Données projet'!$B$88,BD75+BC76-BL75)))</f>
        <v>316.19999999999987</v>
      </c>
      <c r="BE76" s="13">
        <f>BD76*VLOOKUP('Données projet'!$B$11,Paramètres!$A$1:$I$89,3,0)*VLOOKUP('Données projet'!$B$11,Paramètres!$A$1:$I$89,5,0)</f>
        <v>271.29959999999994</v>
      </c>
      <c r="BF76" s="13">
        <f t="shared" si="91"/>
        <v>65.125000081857877</v>
      </c>
      <c r="BG76" s="20">
        <f t="shared" si="61"/>
        <v>585.93951180923568</v>
      </c>
      <c r="BH76" s="59">
        <f t="shared" si="62"/>
        <v>879.27284514256894</v>
      </c>
      <c r="BI76" s="59">
        <f ca="1">AVERAGE(OFFSET($BH$3,0,0,'Données projet'!$E$11+1,1))-AVERAGE(OFFSET($H$3,0,0,'Données projet'!$E$11+1,1))</f>
        <v>352.61091660077574</v>
      </c>
      <c r="BJ76" s="59">
        <f t="shared" si="92"/>
        <v>186.48649111821521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76.976834123656928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76.976834123656928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792.00000000000057</v>
      </c>
      <c r="O77" s="13">
        <f>N77*VLOOKUP('Données projet'!$B$9,Paramètres!$A$1:$I$89,3,0)*VLOOKUP('Données projet'!$B$9,Paramètres!$A$1:$I$89,5,0)</f>
        <v>370.65600000000023</v>
      </c>
      <c r="P77" s="13">
        <f t="shared" si="87"/>
        <v>85.801498173531627</v>
      </c>
      <c r="Q77" s="20">
        <f t="shared" si="54"/>
        <v>794.99680931890123</v>
      </c>
      <c r="R77" s="59">
        <f t="shared" si="55"/>
        <v>1088.3301426522346</v>
      </c>
      <c r="S77" s="59">
        <f ca="1">AVERAGE(OFFSET($R$3,0,0,'Données projet'!$E$9+1,1))-AVERAGE(OFFSET($H$3,0,0,'Données projet'!$E$9+1,1))</f>
        <v>379.12827535040157</v>
      </c>
      <c r="T77" s="59">
        <f t="shared" si="88"/>
        <v>317.29813413796956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111.12127887733173</v>
      </c>
      <c r="AA77" s="21">
        <f>EXP(-LN(2)/25)*AA76+(1-EXP(-LN(2)/25))/(LN(2)/25)*Calculateur!V77*Calculateur!X77*VLOOKUP('Données projet'!$B$9,Paramètres!$A$1:$I$89,3,0)*0.475*44/12</f>
        <v>13.14856145985965</v>
      </c>
      <c r="AB77" s="21">
        <f>EXP(-LN(2)/2)*AB76+(1-EXP(-LN(2)/2))/(LN(2)/2)*V77*Y77*VLOOKUP('Données projet'!$B$9,Paramètres!$A$1:$I$89,3,0)*0.475*44/12</f>
        <v>1.0264666822777717E-7</v>
      </c>
      <c r="AC77" s="22">
        <f t="shared" si="57"/>
        <v>124.26984043983805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9">
        <f t="shared" si="59"/>
        <v>958.04189470605093</v>
      </c>
      <c r="AN77" s="59">
        <f ca="1">AVERAGE(OFFSET($AM$3,0,0,'Données projet'!$E$10+1,1))-AVERAGE(OFFSET($H$3,0,0,'Données projet'!$E$10+1,1))</f>
        <v>392.48436003609055</v>
      </c>
      <c r="AO77" s="59">
        <f t="shared" si="90"/>
        <v>236.3312446580419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72.360647058264362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72.360647058264362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9.4</v>
      </c>
      <c r="BD77" s="12">
        <f>IF('Données projet'!$A$88&gt;35,BD76+BC77-BL76,IF(A77&lt;'Données projet'!$A$88,$BA$205^A77,IF(A77='Données projet'!$A$88,'Données projet'!$B$88,BD76+BC77-BL76)))</f>
        <v>325.59999999999985</v>
      </c>
      <c r="BE77" s="13">
        <f>BD77*VLOOKUP('Données projet'!$B$11,Paramètres!$A$1:$I$89,3,0)*VLOOKUP('Données projet'!$B$11,Paramètres!$A$1:$I$89,5,0)</f>
        <v>279.36479999999989</v>
      </c>
      <c r="BF77" s="13">
        <f t="shared" si="91"/>
        <v>66.832755122992182</v>
      </c>
      <c r="BG77" s="20">
        <f t="shared" si="61"/>
        <v>602.96074183921121</v>
      </c>
      <c r="BH77" s="59">
        <f t="shared" si="62"/>
        <v>896.29407517254458</v>
      </c>
      <c r="BI77" s="59">
        <f ca="1">AVERAGE(OFFSET($BH$3,0,0,'Données projet'!$E$11+1,1))-AVERAGE(OFFSET($H$3,0,0,'Données projet'!$E$11+1,1))</f>
        <v>352.61091660077574</v>
      </c>
      <c r="BJ77" s="59">
        <f t="shared" si="92"/>
        <v>186.48649111821521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75.467365357724788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75.467365357724788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809</v>
      </c>
      <c r="L78" s="12">
        <f>VLOOKUP(A78,'Données projet'!$A$35:$I$55,9,0)</f>
        <v>17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809.00000000000057</v>
      </c>
      <c r="O78" s="13">
        <f>N78*VLOOKUP('Données projet'!$B$9,Paramètres!$A$1:$I$89,3,0)*VLOOKUP('Données projet'!$B$9,Paramètres!$A$1:$I$89,5,0)</f>
        <v>378.61200000000025</v>
      </c>
      <c r="P78" s="13">
        <f t="shared" si="87"/>
        <v>87.426806387687449</v>
      </c>
      <c r="Q78" s="20">
        <f t="shared" si="54"/>
        <v>811.6842544585561</v>
      </c>
      <c r="R78" s="59">
        <f t="shared" si="55"/>
        <v>1105.0175877918894</v>
      </c>
      <c r="S78" s="59">
        <f ca="1">AVERAGE(OFFSET($R$3,0,0,'Données projet'!$E$9+1,1))-AVERAGE(OFFSET($H$3,0,0,'Données projet'!$E$9+1,1))</f>
        <v>379.12827535040157</v>
      </c>
      <c r="T78" s="59">
        <f t="shared" si="88"/>
        <v>317.29813413796956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47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124.9907698448514</v>
      </c>
      <c r="AA78" s="21">
        <f>EXP(-LN(2)/25)*AA77+(1-EXP(-LN(2)/25))/(LN(2)/25)*Calculateur!V78*Calculateur!X78*VLOOKUP('Données projet'!$B$9,Paramètres!$A$1:$I$89,3,0)*0.475*44/12</f>
        <v>12.789013355286992</v>
      </c>
      <c r="AB78" s="21">
        <f>EXP(-LN(2)/2)*AB77+(1-EXP(-LN(2)/2))/(LN(2)/2)*V78*Y78*VLOOKUP('Données projet'!$B$9,Paramètres!$A$1:$I$89,3,0)*0.475*44/12</f>
        <v>7.2582155170066972E-8</v>
      </c>
      <c r="AC78" s="22">
        <f t="shared" si="57"/>
        <v>137.77978327272055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974.2642926565145</v>
      </c>
      <c r="AN78" s="59">
        <f ca="1">AVERAGE(OFFSET($AM$3,0,0,'Données projet'!$E$10+1,1))-AVERAGE(OFFSET($H$3,0,0,'Données projet'!$E$10+1,1))</f>
        <v>392.48436003609055</v>
      </c>
      <c r="AO78" s="59">
        <f t="shared" si="90"/>
        <v>236.3312446580419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84.437900361839269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84.437900361839269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335</v>
      </c>
      <c r="BB78" s="12">
        <f>VLOOKUP(A78,'Données projet'!$A$87:$I$107,9,0)</f>
        <v>9.4</v>
      </c>
      <c r="BC78" s="12">
        <f t="array" ref="BC78">INDEX(BB:BB,MIN(IF(ISNUMBER(BB78:BB274),ROW(BB78:BB274),"")))</f>
        <v>9.4</v>
      </c>
      <c r="BD78" s="12">
        <f>IF('Données projet'!$A$88&gt;35,BD77+BC78-BL77,IF(A78&lt;'Données projet'!$A$88,$BA$205^A78,IF(A78='Données projet'!$A$88,'Données projet'!$B$88,BD77+BC78-BL77)))</f>
        <v>334.99999999999983</v>
      </c>
      <c r="BE78" s="13">
        <f>BD78*VLOOKUP('Données projet'!$B$11,Paramètres!$A$1:$I$89,3,0)*VLOOKUP('Données projet'!$B$11,Paramètres!$A$1:$I$89,5,0)</f>
        <v>287.42999999999989</v>
      </c>
      <c r="BF78" s="13">
        <f t="shared" si="91"/>
        <v>68.534780142555746</v>
      </c>
      <c r="BG78" s="20">
        <f t="shared" si="61"/>
        <v>619.97199208161771</v>
      </c>
      <c r="BH78" s="59">
        <f t="shared" si="62"/>
        <v>913.30532541495108</v>
      </c>
      <c r="BI78" s="59">
        <f ca="1">AVERAGE(OFFSET($BH$3,0,0,'Données projet'!$E$11+1,1))-AVERAGE(OFFSET($H$3,0,0,'Données projet'!$E$11+1,1))</f>
        <v>352.61091660077574</v>
      </c>
      <c r="BJ78" s="59">
        <f t="shared" si="92"/>
        <v>186.48649111821521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88.063141164494326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88.063141164494326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15.6</v>
      </c>
      <c r="N79" s="13">
        <f>IF('Données projet'!$A$36&gt;35,N78+M79-V78,IF(A79&lt;'Données projet'!$A$36,$K$205^A79,IF(A79='Données projet'!$A$36,'Données projet'!$B$36,N78+M79-V78)))</f>
        <v>777.60000000000059</v>
      </c>
      <c r="O79" s="13">
        <f>N79*VLOOKUP('Données projet'!$B$9,Paramètres!$A$1:$I$89,3,0)*VLOOKUP('Données projet'!$B$9,Paramètres!$A$1:$I$89,5,0)</f>
        <v>363.91680000000031</v>
      </c>
      <c r="P79" s="13">
        <f t="shared" si="87"/>
        <v>84.421589499194738</v>
      </c>
      <c r="Q79" s="20">
        <f t="shared" si="54"/>
        <v>780.85602837776469</v>
      </c>
      <c r="R79" s="59">
        <f t="shared" si="55"/>
        <v>1074.1893617110979</v>
      </c>
      <c r="S79" s="59">
        <f ca="1">AVERAGE(OFFSET($R$3,0,0,'Données projet'!$E$9+1,1))-AVERAGE(OFFSET($H$3,0,0,'Données projet'!$E$9+1,1))</f>
        <v>379.12827535040157</v>
      </c>
      <c r="T79" s="59">
        <f t="shared" si="88"/>
        <v>317.29813413796956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122.53977708503571</v>
      </c>
      <c r="AA79" s="21">
        <f>EXP(-LN(2)/25)*AA78+(1-EXP(-LN(2)/25))/(LN(2)/25)*Calculateur!V79*Calculateur!X79*VLOOKUP('Données projet'!$B$9,Paramètres!$A$1:$I$89,3,0)*0.475*44/12</f>
        <v>12.439297112541686</v>
      </c>
      <c r="AB79" s="21">
        <f>EXP(-LN(2)/2)*AB78+(1-EXP(-LN(2)/2))/(LN(2)/2)*V79*Y79*VLOOKUP('Données projet'!$B$9,Paramètres!$A$1:$I$89,3,0)*0.475*44/12</f>
        <v>5.1323334113888586E-8</v>
      </c>
      <c r="AC79" s="22">
        <f t="shared" si="57"/>
        <v>134.97907424890073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392.48436003609055</v>
      </c>
      <c r="AO79" s="59">
        <f t="shared" si="90"/>
        <v>236.3312446580419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82.782124637777414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82.782124637777414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8.8000000000000007</v>
      </c>
      <c r="BD79" s="12">
        <f>IF('Données projet'!$A$88&gt;35,BD78+BC79-BL78,IF(A79&lt;'Données projet'!$A$88,$BA$205^A79,IF(A79='Données projet'!$A$88,'Données projet'!$B$88,BD78+BC79-BL78)))</f>
        <v>315.79999999999984</v>
      </c>
      <c r="BE79" s="13">
        <f>BD79*VLOOKUP('Données projet'!$B$11,Paramètres!$A$1:$I$89,3,0)*VLOOKUP('Données projet'!$B$11,Paramètres!$A$1:$I$89,5,0)</f>
        <v>270.95639999999986</v>
      </c>
      <c r="BF79" s="13">
        <f t="shared" si="91"/>
        <v>65.052199716598722</v>
      </c>
      <c r="BG79" s="20">
        <f t="shared" si="61"/>
        <v>585.21497783974257</v>
      </c>
      <c r="BH79" s="59">
        <f t="shared" si="62"/>
        <v>878.54831117307594</v>
      </c>
      <c r="BI79" s="59">
        <f ca="1">AVERAGE(OFFSET($BH$3,0,0,'Données projet'!$E$11+1,1))-AVERAGE(OFFSET($H$3,0,0,'Données projet'!$E$11+1,1))</f>
        <v>352.61091660077574</v>
      </c>
      <c r="BJ79" s="59">
        <f t="shared" si="92"/>
        <v>186.48649111821521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86.33627667947097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86.33627667947097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15.6</v>
      </c>
      <c r="N80" s="13">
        <f>IF('Données projet'!$A$36&gt;35,N79+M80-V79,IF(A80&lt;'Données projet'!$A$36,$K$205^A80,IF(A80='Données projet'!$A$36,'Données projet'!$B$36,N79+M80-V79)))</f>
        <v>793.20000000000061</v>
      </c>
      <c r="O80" s="13">
        <f>N80*VLOOKUP('Données projet'!$B$9,Paramètres!$A$1:$I$89,3,0)*VLOOKUP('Données projet'!$B$9,Paramètres!$A$1:$I$89,5,0)</f>
        <v>371.21760000000029</v>
      </c>
      <c r="P80" s="13">
        <f t="shared" si="87"/>
        <v>85.916358055529045</v>
      </c>
      <c r="Q80" s="20">
        <f t="shared" si="54"/>
        <v>796.17497694671363</v>
      </c>
      <c r="R80" s="59">
        <f t="shared" si="55"/>
        <v>1089.508310280047</v>
      </c>
      <c r="S80" s="59">
        <f ca="1">AVERAGE(OFFSET($R$3,0,0,'Données projet'!$E$9+1,1))-AVERAGE(OFFSET($H$3,0,0,'Données projet'!$E$9+1,1))</f>
        <v>379.12827535040157</v>
      </c>
      <c r="T80" s="59">
        <f t="shared" si="88"/>
        <v>317.29813413796956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120.13684679828204</v>
      </c>
      <c r="AA80" s="21">
        <f>EXP(-LN(2)/25)*AA79+(1-EXP(-LN(2)/25))/(LN(2)/25)*Calculateur!V80*Calculateur!X80*VLOOKUP('Données projet'!$B$9,Paramètres!$A$1:$I$89,3,0)*0.475*44/12</f>
        <v>12.099143878845029</v>
      </c>
      <c r="AB80" s="21">
        <f>EXP(-LN(2)/2)*AB79+(1-EXP(-LN(2)/2))/(LN(2)/2)*V80*Y80*VLOOKUP('Données projet'!$B$9,Paramètres!$A$1:$I$89,3,0)*0.475*44/12</f>
        <v>3.6291077585033486E-8</v>
      </c>
      <c r="AC80" s="22">
        <f t="shared" si="57"/>
        <v>132.23599071341815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9">
        <f t="shared" si="59"/>
        <v>945.22899200862457</v>
      </c>
      <c r="AN80" s="59">
        <f ca="1">AVERAGE(OFFSET($AM$3,0,0,'Données projet'!$E$10+1,1))-AVERAGE(OFFSET($H$3,0,0,'Données projet'!$E$10+1,1))</f>
        <v>392.48436003609055</v>
      </c>
      <c r="AO80" s="59">
        <f t="shared" si="90"/>
        <v>236.3312446580419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81.158817665740941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81.158817665740941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8.8000000000000007</v>
      </c>
      <c r="BD80" s="12">
        <f>IF('Données projet'!$A$88&gt;35,BD79+BC80-BL79,IF(A80&lt;'Données projet'!$A$88,$BA$205^A80,IF(A80='Données projet'!$A$88,'Données projet'!$B$88,BD79+BC80-BL79)))</f>
        <v>324.59999999999985</v>
      </c>
      <c r="BE80" s="13">
        <f>BD80*VLOOKUP('Données projet'!$B$11,Paramètres!$A$1:$I$89,3,0)*VLOOKUP('Données projet'!$B$11,Paramètres!$A$1:$I$89,5,0)</f>
        <v>278.50679999999994</v>
      </c>
      <c r="BF80" s="13">
        <f t="shared" si="91"/>
        <v>66.651354661909949</v>
      </c>
      <c r="BG80" s="20">
        <f t="shared" si="61"/>
        <v>601.15045270282633</v>
      </c>
      <c r="BH80" s="59">
        <f t="shared" si="62"/>
        <v>894.4837860361597</v>
      </c>
      <c r="BI80" s="59">
        <f ca="1">AVERAGE(OFFSET($BH$3,0,0,'Données projet'!$E$11+1,1))-AVERAGE(OFFSET($H$3,0,0,'Données projet'!$E$11+1,1))</f>
        <v>352.61091660077574</v>
      </c>
      <c r="BJ80" s="59">
        <f t="shared" si="92"/>
        <v>186.48649111821521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84.643274953715576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84.643274953715576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15.6</v>
      </c>
      <c r="N81" s="13">
        <f>IF('Données projet'!$A$36&gt;35,N80+M81-V80,IF(A81&lt;'Données projet'!$A$36,$K$205^A81,IF(A81='Données projet'!$A$36,'Données projet'!$B$36,N80+M81-V80)))</f>
        <v>808.80000000000064</v>
      </c>
      <c r="O81" s="13">
        <f>N81*VLOOKUP('Données projet'!$B$9,Paramètres!$A$1:$I$89,3,0)*VLOOKUP('Données projet'!$B$9,Paramètres!$A$1:$I$89,5,0)</f>
        <v>378.51840000000033</v>
      </c>
      <c r="P81" s="13">
        <f t="shared" si="87"/>
        <v>87.407708380835928</v>
      </c>
      <c r="Q81" s="20">
        <f t="shared" si="54"/>
        <v>811.48797209662314</v>
      </c>
      <c r="R81" s="59">
        <f t="shared" si="55"/>
        <v>1104.8213054299565</v>
      </c>
      <c r="S81" s="59">
        <f ca="1">AVERAGE(OFFSET($R$3,0,0,'Données projet'!$E$9+1,1))-AVERAGE(OFFSET($H$3,0,0,'Données projet'!$E$9+1,1))</f>
        <v>379.12827535040157</v>
      </c>
      <c r="T81" s="59">
        <f t="shared" si="88"/>
        <v>317.29813413796956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117.78103650880884</v>
      </c>
      <c r="AA81" s="21">
        <f>EXP(-LN(2)/25)*AA80+(1-EXP(-LN(2)/25))/(LN(2)/25)*Calculateur!V81*Calculateur!X81*VLOOKUP('Données projet'!$B$9,Paramètres!$A$1:$I$89,3,0)*0.475*44/12</f>
        <v>11.768292153211688</v>
      </c>
      <c r="AB81" s="21">
        <f>EXP(-LN(2)/2)*AB80+(1-EXP(-LN(2)/2))/(LN(2)/2)*V81*Y81*VLOOKUP('Données projet'!$B$9,Paramètres!$A$1:$I$89,3,0)*0.475*44/12</f>
        <v>2.5661667056944293E-8</v>
      </c>
      <c r="AC81" s="22">
        <f t="shared" si="57"/>
        <v>129.54932868768219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9">
        <f t="shared" si="59"/>
        <v>960.60386205396253</v>
      </c>
      <c r="AN81" s="59">
        <f ca="1">AVERAGE(OFFSET($AM$3,0,0,'Données projet'!$E$10+1,1))-AVERAGE(OFFSET($H$3,0,0,'Données projet'!$E$10+1,1))</f>
        <v>392.48436003609055</v>
      </c>
      <c r="AO81" s="59">
        <f t="shared" si="90"/>
        <v>236.3312446580419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79.567342753306619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79.567342753306619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8.8000000000000007</v>
      </c>
      <c r="BD81" s="12">
        <f>IF('Données projet'!$A$88&gt;35,BD80+BC81-BL80,IF(A81&lt;'Données projet'!$A$88,$BA$205^A81,IF(A81='Données projet'!$A$88,'Données projet'!$B$88,BD80+BC81-BL80)))</f>
        <v>333.39999999999986</v>
      </c>
      <c r="BE81" s="13">
        <f>BD81*VLOOKUP('Données projet'!$B$11,Paramètres!$A$1:$I$89,3,0)*VLOOKUP('Données projet'!$B$11,Paramètres!$A$1:$I$89,5,0)</f>
        <v>286.05719999999991</v>
      </c>
      <c r="BF81" s="13">
        <f t="shared" si="91"/>
        <v>68.24547055517067</v>
      </c>
      <c r="BG81" s="20">
        <f t="shared" si="61"/>
        <v>617.07715121692206</v>
      </c>
      <c r="BH81" s="59">
        <f t="shared" si="62"/>
        <v>910.41048455025543</v>
      </c>
      <c r="BI81" s="59">
        <f ca="1">AVERAGE(OFFSET($BH$3,0,0,'Données projet'!$E$11+1,1))-AVERAGE(OFFSET($H$3,0,0,'Données projet'!$E$11+1,1))</f>
        <v>352.61091660077574</v>
      </c>
      <c r="BJ81" s="59">
        <f t="shared" si="92"/>
        <v>186.48649111821521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82.983471959173158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82.983471959173158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15.6</v>
      </c>
      <c r="N82" s="13">
        <f>IF('Données projet'!$A$36&gt;35,N81+M82-V81,IF(A82&lt;'Données projet'!$A$36,$K$205^A82,IF(A82='Données projet'!$A$36,'Données projet'!$B$36,N81+M82-V81)))</f>
        <v>824.40000000000066</v>
      </c>
      <c r="O82" s="13">
        <f>N82*VLOOKUP('Données projet'!$B$9,Paramètres!$A$1:$I$89,3,0)*VLOOKUP('Données projet'!$B$9,Paramètres!$A$1:$I$89,5,0)</f>
        <v>385.81920000000031</v>
      </c>
      <c r="P82" s="13">
        <f t="shared" si="87"/>
        <v>88.895714006306306</v>
      </c>
      <c r="Q82" s="20">
        <f t="shared" si="54"/>
        <v>826.79514189431723</v>
      </c>
      <c r="R82" s="59">
        <f t="shared" si="55"/>
        <v>1120.1284752276506</v>
      </c>
      <c r="S82" s="59">
        <f ca="1">AVERAGE(OFFSET($R$3,0,0,'Données projet'!$E$9+1,1))-AVERAGE(OFFSET($H$3,0,0,'Données projet'!$E$9+1,1))</f>
        <v>379.12827535040157</v>
      </c>
      <c r="T82" s="59">
        <f t="shared" si="88"/>
        <v>317.29813413796956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115.47142222220982</v>
      </c>
      <c r="AA82" s="21">
        <f>EXP(-LN(2)/25)*AA81+(1-EXP(-LN(2)/25))/(LN(2)/25)*Calculateur!V82*Calculateur!X82*VLOOKUP('Données projet'!$B$9,Paramètres!$A$1:$I$89,3,0)*0.475*44/12</f>
        <v>11.446487585414527</v>
      </c>
      <c r="AB82" s="21">
        <f>EXP(-LN(2)/2)*AB81+(1-EXP(-LN(2)/2))/(LN(2)/2)*V82*Y82*VLOOKUP('Données projet'!$B$9,Paramètres!$A$1:$I$89,3,0)*0.475*44/12</f>
        <v>1.8145538792516743E-8</v>
      </c>
      <c r="AC82" s="22">
        <f t="shared" si="57"/>
        <v>126.9179098257699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9">
        <f t="shared" si="59"/>
        <v>975.97144846392098</v>
      </c>
      <c r="AN82" s="59">
        <f ca="1">AVERAGE(OFFSET($AM$3,0,0,'Données projet'!$E$10+1,1))-AVERAGE(OFFSET($H$3,0,0,'Données projet'!$E$10+1,1))</f>
        <v>392.48436003609055</v>
      </c>
      <c r="AO82" s="59">
        <f t="shared" si="90"/>
        <v>236.3312446580419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78.007075693201287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78.007075693201287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8.8000000000000007</v>
      </c>
      <c r="BD82" s="12">
        <f>IF('Données projet'!$A$88&gt;35,BD81+BC82-BL81,IF(A82&lt;'Données projet'!$A$88,$BA$205^A82,IF(A82='Données projet'!$A$88,'Données projet'!$B$88,BD81+BC82-BL81)))</f>
        <v>342.19999999999987</v>
      </c>
      <c r="BE82" s="13">
        <f>BD82*VLOOKUP('Données projet'!$B$11,Paramètres!$A$1:$I$89,3,0)*VLOOKUP('Données projet'!$B$11,Paramètres!$A$1:$I$89,5,0)</f>
        <v>293.60759999999993</v>
      </c>
      <c r="BF82" s="13">
        <f t="shared" si="91"/>
        <v>69.834695689453682</v>
      </c>
      <c r="BG82" s="20">
        <f t="shared" si="61"/>
        <v>632.99533165913169</v>
      </c>
      <c r="BH82" s="59">
        <f t="shared" si="62"/>
        <v>926.32866499246506</v>
      </c>
      <c r="BI82" s="59">
        <f ca="1">AVERAGE(OFFSET($BH$3,0,0,'Données projet'!$E$11+1,1))-AVERAGE(OFFSET($H$3,0,0,'Données projet'!$E$11+1,1))</f>
        <v>352.61091660077574</v>
      </c>
      <c r="BJ82" s="59">
        <f t="shared" si="92"/>
        <v>186.48649111821521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81.356216688973859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81.356216688973859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840</v>
      </c>
      <c r="L83" s="12">
        <f>VLOOKUP(A83,'Données projet'!$A$35:$I$55,9,0)</f>
        <v>15.6</v>
      </c>
      <c r="M83" s="12">
        <f t="array" ref="M83">INDEX(L:L,MIN(IF(ISNUMBER(L83:L279),ROW(L83:L279),"")))</f>
        <v>15.6</v>
      </c>
      <c r="N83" s="13">
        <f>IF('Données projet'!$A$36&gt;35,N82+M83-V82,IF(A83&lt;'Données projet'!$A$36,$K$205^A83,IF(A83='Données projet'!$A$36,'Données projet'!$B$36,N82+M83-V82)))</f>
        <v>840.00000000000068</v>
      </c>
      <c r="O83" s="13">
        <f>N83*VLOOKUP('Données projet'!$B$9,Paramètres!$A$1:$I$89,3,0)*VLOOKUP('Données projet'!$B$9,Paramètres!$A$1:$I$89,5,0)</f>
        <v>393.12000000000035</v>
      </c>
      <c r="P83" s="13">
        <f t="shared" si="87"/>
        <v>90.380445521045004</v>
      </c>
      <c r="Q83" s="20">
        <f t="shared" si="54"/>
        <v>842.09660928248729</v>
      </c>
      <c r="R83" s="59">
        <f t="shared" si="55"/>
        <v>1135.4299426158207</v>
      </c>
      <c r="S83" s="59">
        <f ca="1">AVERAGE(OFFSET($R$3,0,0,'Données projet'!$E$9+1,1))-AVERAGE(OFFSET($H$3,0,0,'Données projet'!$E$9+1,1))</f>
        <v>379.12827535040157</v>
      </c>
      <c r="T83" s="59">
        <f t="shared" si="88"/>
        <v>317.29813413796956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45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128.57269415040159</v>
      </c>
      <c r="AA83" s="21">
        <f>EXP(-LN(2)/25)*AA82+(1-EXP(-LN(2)/25))/(LN(2)/25)*Calculateur!V83*Calculateur!X83*VLOOKUP('Données projet'!$B$9,Paramètres!$A$1:$I$89,3,0)*0.475*44/12</f>
        <v>11.133482780446746</v>
      </c>
      <c r="AB83" s="21">
        <f>EXP(-LN(2)/2)*AB82+(1-EXP(-LN(2)/2))/(LN(2)/2)*V83*Y83*VLOOKUP('Données projet'!$B$9,Paramètres!$A$1:$I$89,3,0)*0.475*44/12</f>
        <v>1.2830833528472146E-8</v>
      </c>
      <c r="AC83" s="22">
        <f t="shared" si="57"/>
        <v>139.70617694367917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9">
        <f t="shared" si="59"/>
        <v>991.33193819028838</v>
      </c>
      <c r="AN83" s="59">
        <f ca="1">AVERAGE(OFFSET($AM$3,0,0,'Données projet'!$E$10+1,1))-AVERAGE(OFFSET($H$3,0,0,'Données projet'!$E$10+1,1))</f>
        <v>392.48436003609055</v>
      </c>
      <c r="AO83" s="59">
        <f t="shared" si="90"/>
        <v>236.3312446580419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89.973605975226477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89.973605975226477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351</v>
      </c>
      <c r="BB83" s="12">
        <f>VLOOKUP(A83,'Données projet'!$A$87:$I$107,9,0)</f>
        <v>8.8000000000000007</v>
      </c>
      <c r="BC83" s="12">
        <f t="array" ref="BC83">INDEX(BB:BB,MIN(IF(ISNUMBER(BB83:BB279),ROW(BB83:BB279),"")))</f>
        <v>8.8000000000000007</v>
      </c>
      <c r="BD83" s="12">
        <f>IF('Données projet'!$A$88&gt;35,BD82+BC83-BL82,IF(A83&lt;'Données projet'!$A$88,$BA$205^A83,IF(A83='Données projet'!$A$88,'Données projet'!$B$88,BD82+BC83-BL82)))</f>
        <v>350.99999999999989</v>
      </c>
      <c r="BE83" s="13">
        <f>BD83*VLOOKUP('Données projet'!$B$11,Paramètres!$A$1:$I$89,3,0)*VLOOKUP('Données projet'!$B$11,Paramètres!$A$1:$I$89,5,0)</f>
        <v>301.15799999999996</v>
      </c>
      <c r="BF83" s="13">
        <f t="shared" si="91"/>
        <v>71.419170296330975</v>
      </c>
      <c r="BG83" s="20">
        <f t="shared" si="61"/>
        <v>648.90523826610968</v>
      </c>
      <c r="BH83" s="59">
        <f t="shared" si="62"/>
        <v>942.23857159944305</v>
      </c>
      <c r="BI83" s="59">
        <f ca="1">AVERAGE(OFFSET($BH$3,0,0,'Données projet'!$E$11+1,1))-AVERAGE(OFFSET($H$3,0,0,'Données projet'!$E$11+1,1))</f>
        <v>352.61091660077574</v>
      </c>
      <c r="BJ83" s="59">
        <f t="shared" si="92"/>
        <v>186.48649111821521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93.836515712982248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93.836515712982248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795.00000000000068</v>
      </c>
      <c r="O84" s="13">
        <f>N84*VLOOKUP('Données projet'!$B$9,Paramètres!$A$1:$I$89,3,0)*VLOOKUP('Données projet'!$B$9,Paramètres!$A$1:$I$89,5,0)</f>
        <v>372.06000000000029</v>
      </c>
      <c r="P84" s="13">
        <f t="shared" si="87"/>
        <v>86.088609967897526</v>
      </c>
      <c r="Q84" s="20">
        <f t="shared" si="54"/>
        <v>797.94216236075533</v>
      </c>
      <c r="R84" s="59">
        <f t="shared" si="55"/>
        <v>1091.2754956940887</v>
      </c>
      <c r="S84" s="59">
        <f ca="1">AVERAGE(OFFSET($R$3,0,0,'Données projet'!$E$9+1,1))-AVERAGE(OFFSET($H$3,0,0,'Données projet'!$E$9+1,1))</f>
        <v>379.12827535040157</v>
      </c>
      <c r="T84" s="59">
        <f t="shared" si="88"/>
        <v>317.29813413796956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126.05146203971215</v>
      </c>
      <c r="AA84" s="21">
        <f>EXP(-LN(2)/25)*AA83+(1-EXP(-LN(2)/25))/(LN(2)/25)*Calculateur!V84*Calculateur!X84*VLOOKUP('Données projet'!$B$9,Paramètres!$A$1:$I$89,3,0)*0.475*44/12</f>
        <v>10.829037108331017</v>
      </c>
      <c r="AB84" s="21">
        <f>EXP(-LN(2)/2)*AB83+(1-EXP(-LN(2)/2))/(LN(2)/2)*V84*Y84*VLOOKUP('Données projet'!$B$9,Paramètres!$A$1:$I$89,3,0)*0.475*44/12</f>
        <v>9.0727693962583714E-9</v>
      </c>
      <c r="AC84" s="22">
        <f t="shared" si="57"/>
        <v>136.88049915711593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9">
        <f t="shared" si="59"/>
        <v>946.08334583533451</v>
      </c>
      <c r="AN84" s="59">
        <f ca="1">AVERAGE(OFFSET($AM$3,0,0,'Données projet'!$E$10+1,1))-AVERAGE(OFFSET($H$3,0,0,'Données projet'!$E$10+1,1))</f>
        <v>392.48436003609055</v>
      </c>
      <c r="AO84" s="59">
        <f t="shared" si="90"/>
        <v>236.3312446580419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88.209278440533126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88.209278440533126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8.4</v>
      </c>
      <c r="BD84" s="12">
        <f>IF('Données projet'!$A$88&gt;35,BD83+BC84-BL83,IF(A84&lt;'Données projet'!$A$88,$BA$205^A84,IF(A84='Données projet'!$A$88,'Données projet'!$B$88,BD83+BC84-BL83)))</f>
        <v>331.39999999999986</v>
      </c>
      <c r="BE84" s="13">
        <f>BD84*VLOOKUP('Données projet'!$B$11,Paramètres!$A$1:$I$89,3,0)*VLOOKUP('Données projet'!$B$11,Paramètres!$A$1:$I$89,5,0)</f>
        <v>284.34119999999996</v>
      </c>
      <c r="BF84" s="13">
        <f t="shared" si="91"/>
        <v>67.883606139618351</v>
      </c>
      <c r="BG84" s="20">
        <f t="shared" si="61"/>
        <v>613.4582040265019</v>
      </c>
      <c r="BH84" s="59">
        <f t="shared" si="62"/>
        <v>906.79153735983527</v>
      </c>
      <c r="BI84" s="59">
        <f ca="1">AVERAGE(OFFSET($BH$3,0,0,'Données projet'!$E$11+1,1))-AVERAGE(OFFSET($H$3,0,0,'Données projet'!$E$11+1,1))</f>
        <v>352.61091660077574</v>
      </c>
      <c r="BJ84" s="59">
        <f t="shared" si="92"/>
        <v>186.48649111821521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91.996438874473796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91.996438874473796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795.00000000000068</v>
      </c>
      <c r="O85" s="13">
        <f>N85*VLOOKUP('Données projet'!$B$9,Paramètres!$A$1:$I$89,3,0)*VLOOKUP('Données projet'!$B$9,Paramètres!$A$1:$I$89,5,0)</f>
        <v>372.06000000000029</v>
      </c>
      <c r="P85" s="13">
        <f t="shared" si="87"/>
        <v>86.088609967897526</v>
      </c>
      <c r="Q85" s="20">
        <f t="shared" si="54"/>
        <v>797.94216236075533</v>
      </c>
      <c r="R85" s="59">
        <f t="shared" si="55"/>
        <v>1091.2754956940887</v>
      </c>
      <c r="S85" s="59">
        <f ca="1">AVERAGE(OFFSET($R$3,0,0,'Données projet'!$E$9+1,1))-AVERAGE(OFFSET($H$3,0,0,'Données projet'!$E$9+1,1))</f>
        <v>379.12827535040157</v>
      </c>
      <c r="T85" s="59">
        <f t="shared" si="88"/>
        <v>317.29813413796956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123.57966975291359</v>
      </c>
      <c r="AA85" s="21">
        <f>EXP(-LN(2)/25)*AA84+(1-EXP(-LN(2)/25))/(LN(2)/25)*Calculateur!V85*Calculateur!X85*VLOOKUP('Données projet'!$B$9,Paramètres!$A$1:$I$89,3,0)*0.475*44/12</f>
        <v>10.532916519129394</v>
      </c>
      <c r="AB85" s="21">
        <f>EXP(-LN(2)/2)*AB84+(1-EXP(-LN(2)/2))/(LN(2)/2)*V85*Y85*VLOOKUP('Données projet'!$B$9,Paramètres!$A$1:$I$89,3,0)*0.475*44/12</f>
        <v>6.4154167642360732E-9</v>
      </c>
      <c r="AC85" s="22">
        <f t="shared" si="57"/>
        <v>134.11258627845839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9">
        <f t="shared" si="59"/>
        <v>960.60386205396253</v>
      </c>
      <c r="AN85" s="59">
        <f ca="1">AVERAGE(OFFSET($AM$3,0,0,'Données projet'!$E$10+1,1))-AVERAGE(OFFSET($H$3,0,0,'Données projet'!$E$10+1,1))</f>
        <v>392.48436003609055</v>
      </c>
      <c r="AO85" s="59">
        <f t="shared" si="90"/>
        <v>236.3312446580419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86.479548292661576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86.479548292661576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8.4</v>
      </c>
      <c r="BD85" s="12">
        <f>IF('Données projet'!$A$88&gt;35,BD84+BC85-BL84,IF(A85&lt;'Données projet'!$A$88,$BA$205^A85,IF(A85='Données projet'!$A$88,'Données projet'!$B$88,BD84+BC85-BL84)))</f>
        <v>339.79999999999984</v>
      </c>
      <c r="BE85" s="13">
        <f>BD85*VLOOKUP('Données projet'!$B$11,Paramètres!$A$1:$I$89,3,0)*VLOOKUP('Données projet'!$B$11,Paramètres!$A$1:$I$89,5,0)</f>
        <v>291.5483999999999</v>
      </c>
      <c r="BF85" s="13">
        <f t="shared" si="91"/>
        <v>69.40174753959208</v>
      </c>
      <c r="BG85" s="20">
        <f t="shared" si="61"/>
        <v>628.65484029812262</v>
      </c>
      <c r="BH85" s="59">
        <f t="shared" si="62"/>
        <v>921.98817363145599</v>
      </c>
      <c r="BI85" s="59">
        <f ca="1">AVERAGE(OFFSET($BH$3,0,0,'Données projet'!$E$11+1,1))-AVERAGE(OFFSET($H$3,0,0,'Données projet'!$E$11+1,1))</f>
        <v>352.61091660077574</v>
      </c>
      <c r="BJ85" s="59">
        <f t="shared" si="92"/>
        <v>186.48649111821521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90.192444820432456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90.192444820432456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795.00000000000068</v>
      </c>
      <c r="O86" s="13">
        <f>N86*VLOOKUP('Données projet'!$B$9,Paramètres!$A$1:$I$89,3,0)*VLOOKUP('Données projet'!$B$9,Paramètres!$A$1:$I$89,5,0)</f>
        <v>372.06000000000029</v>
      </c>
      <c r="P86" s="13">
        <f t="shared" si="87"/>
        <v>86.088609967897526</v>
      </c>
      <c r="Q86" s="20">
        <f t="shared" si="54"/>
        <v>797.94216236075533</v>
      </c>
      <c r="R86" s="59">
        <f t="shared" si="55"/>
        <v>1091.2754956940887</v>
      </c>
      <c r="S86" s="59">
        <f ca="1">AVERAGE(OFFSET($R$3,0,0,'Données projet'!$E$9+1,1))-AVERAGE(OFFSET($H$3,0,0,'Données projet'!$E$9+1,1))</f>
        <v>379.12827535040157</v>
      </c>
      <c r="T86" s="59">
        <f t="shared" si="88"/>
        <v>317.29813413796956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121.15634780521472</v>
      </c>
      <c r="AA86" s="21">
        <f>EXP(-LN(2)/25)*AA85+(1-EXP(-LN(2)/25))/(LN(2)/25)*Calculateur!V86*Calculateur!X86*VLOOKUP('Données projet'!$B$9,Paramètres!$A$1:$I$89,3,0)*0.475*44/12</f>
        <v>10.244893363011794</v>
      </c>
      <c r="AB86" s="21">
        <f>EXP(-LN(2)/2)*AB85+(1-EXP(-LN(2)/2))/(LN(2)/2)*V86*Y86*VLOOKUP('Données projet'!$B$9,Paramètres!$A$1:$I$89,3,0)*0.475*44/12</f>
        <v>4.5363846981291857E-9</v>
      </c>
      <c r="AC86" s="22">
        <f t="shared" si="57"/>
        <v>131.40124117276289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9">
        <f t="shared" si="59"/>
        <v>975.1178815264052</v>
      </c>
      <c r="AN86" s="59">
        <f ca="1">AVERAGE(OFFSET($AM$3,0,0,'Données projet'!$E$10+1,1))-AVERAGE(OFFSET($H$3,0,0,'Données projet'!$E$10+1,1))</f>
        <v>392.48436003609055</v>
      </c>
      <c r="AO86" s="59">
        <f t="shared" si="90"/>
        <v>236.3312446580419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84.783737097958578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84.783737097958578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8.4</v>
      </c>
      <c r="BD86" s="12">
        <f>IF('Données projet'!$A$88&gt;35,BD85+BC86-BL85,IF(A86&lt;'Données projet'!$A$88,$BA$205^A86,IF(A86='Données projet'!$A$88,'Données projet'!$B$88,BD85+BC86-BL85)))</f>
        <v>348.19999999999982</v>
      </c>
      <c r="BE86" s="13">
        <f>BD86*VLOOKUP('Données projet'!$B$11,Paramètres!$A$1:$I$89,3,0)*VLOOKUP('Données projet'!$B$11,Paramètres!$A$1:$I$89,5,0)</f>
        <v>298.75559999999984</v>
      </c>
      <c r="BF86" s="13">
        <f t="shared" si="91"/>
        <v>70.915526361788181</v>
      </c>
      <c r="BG86" s="20">
        <f t="shared" si="61"/>
        <v>643.84387841344744</v>
      </c>
      <c r="BH86" s="59">
        <f t="shared" si="62"/>
        <v>937.17721174678081</v>
      </c>
      <c r="BI86" s="59">
        <f ca="1">AVERAGE(OFFSET($BH$3,0,0,'Données projet'!$E$11+1,1))-AVERAGE(OFFSET($H$3,0,0,'Données projet'!$E$11+1,1))</f>
        <v>352.61091660077574</v>
      </c>
      <c r="BJ86" s="59">
        <f t="shared" si="92"/>
        <v>186.48649111821521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88.42382598946314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88.42382598946314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795.00000000000068</v>
      </c>
      <c r="O87" s="13">
        <f>N87*VLOOKUP('Données projet'!$B$9,Paramètres!$A$1:$I$89,3,0)*VLOOKUP('Données projet'!$B$9,Paramètres!$A$1:$I$89,5,0)</f>
        <v>372.06000000000029</v>
      </c>
      <c r="P87" s="13">
        <f t="shared" si="87"/>
        <v>86.088609967897526</v>
      </c>
      <c r="Q87" s="20">
        <f t="shared" si="54"/>
        <v>797.94216236075533</v>
      </c>
      <c r="R87" s="59">
        <f t="shared" si="55"/>
        <v>1091.2754956940887</v>
      </c>
      <c r="S87" s="59">
        <f ca="1">AVERAGE(OFFSET($R$3,0,0,'Données projet'!$E$9+1,1))-AVERAGE(OFFSET($H$3,0,0,'Données projet'!$E$9+1,1))</f>
        <v>379.12827535040157</v>
      </c>
      <c r="T87" s="59">
        <f t="shared" si="88"/>
        <v>317.29813413796956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118.7805457228298</v>
      </c>
      <c r="AA87" s="21">
        <f>EXP(-LN(2)/25)*AA86+(1-EXP(-LN(2)/25))/(LN(2)/25)*Calculateur!V87*Calculateur!X87*VLOOKUP('Données projet'!$B$9,Paramètres!$A$1:$I$89,3,0)*0.475*44/12</f>
        <v>9.964746215244709</v>
      </c>
      <c r="AB87" s="21">
        <f>EXP(-LN(2)/2)*AB86+(1-EXP(-LN(2)/2))/(LN(2)/2)*V87*Y87*VLOOKUP('Données projet'!$B$9,Paramètres!$A$1:$I$89,3,0)*0.475*44/12</f>
        <v>3.2077083821180366E-9</v>
      </c>
      <c r="AC87" s="22">
        <f t="shared" si="57"/>
        <v>128.7452919412822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9">
        <f t="shared" si="59"/>
        <v>989.62556195307502</v>
      </c>
      <c r="AN87" s="59">
        <f ca="1">AVERAGE(OFFSET($AM$3,0,0,'Données projet'!$E$10+1,1))-AVERAGE(OFFSET($H$3,0,0,'Données projet'!$E$10+1,1))</f>
        <v>392.48436003609055</v>
      </c>
      <c r="AO87" s="59">
        <f t="shared" si="90"/>
        <v>236.3312446580419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83.121179726441014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83.121179726441014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8.4</v>
      </c>
      <c r="BD87" s="12">
        <f>IF('Données projet'!$A$88&gt;35,BD86+BC87-BL86,IF(A87&lt;'Données projet'!$A$88,$BA$205^A87,IF(A87='Données projet'!$A$88,'Données projet'!$B$88,BD86+BC87-BL86)))</f>
        <v>356.5999999999998</v>
      </c>
      <c r="BE87" s="13">
        <f>BD87*VLOOKUP('Données projet'!$B$11,Paramètres!$A$1:$I$89,3,0)*VLOOKUP('Données projet'!$B$11,Paramètres!$A$1:$I$89,5,0)</f>
        <v>305.96279999999985</v>
      </c>
      <c r="BF87" s="13">
        <f t="shared" si="91"/>
        <v>72.425059957831166</v>
      </c>
      <c r="BG87" s="20">
        <f t="shared" si="61"/>
        <v>659.02552275988899</v>
      </c>
      <c r="BH87" s="59">
        <f t="shared" si="62"/>
        <v>952.35885609322236</v>
      </c>
      <c r="BI87" s="59">
        <f ca="1">AVERAGE(OFFSET($BH$3,0,0,'Données projet'!$E$11+1,1))-AVERAGE(OFFSET($H$3,0,0,'Données projet'!$E$11+1,1))</f>
        <v>352.61091660077574</v>
      </c>
      <c r="BJ87" s="59">
        <f t="shared" si="92"/>
        <v>186.48649111821521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86.689888695018155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86.689888695018155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795.00000000000068</v>
      </c>
      <c r="O88" s="13">
        <f>N88*VLOOKUP('Données projet'!$B$9,Paramètres!$A$1:$I$89,3,0)*VLOOKUP('Données projet'!$B$9,Paramètres!$A$1:$I$89,5,0)</f>
        <v>372.06000000000029</v>
      </c>
      <c r="P88" s="13">
        <f t="shared" si="87"/>
        <v>86.088609967897526</v>
      </c>
      <c r="Q88" s="20">
        <f t="shared" si="54"/>
        <v>797.94216236075533</v>
      </c>
      <c r="R88" s="59">
        <f t="shared" si="55"/>
        <v>1091.2754956940887</v>
      </c>
      <c r="S88" s="59">
        <f ca="1">AVERAGE(OFFSET($R$3,0,0,'Données projet'!$E$9+1,1))-AVERAGE(OFFSET($H$3,0,0,'Données projet'!$E$9+1,1))</f>
        <v>379.12827535040157</v>
      </c>
      <c r="T88" s="59">
        <f t="shared" si="88"/>
        <v>317.29813413796956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116.45133167018426</v>
      </c>
      <c r="AA88" s="21">
        <f>EXP(-LN(2)/25)*AA87+(1-EXP(-LN(2)/25))/(LN(2)/25)*Calculateur!V88*Calculateur!X88*VLOOKUP('Données projet'!$B$9,Paramètres!$A$1:$I$89,3,0)*0.475*44/12</f>
        <v>9.692259705965613</v>
      </c>
      <c r="AB88" s="21">
        <f>EXP(-LN(2)/2)*AB87+(1-EXP(-LN(2)/2))/(LN(2)/2)*V88*Y88*VLOOKUP('Données projet'!$B$9,Paramètres!$A$1:$I$89,3,0)*0.475*44/12</f>
        <v>2.2681923490645929E-9</v>
      </c>
      <c r="AC88" s="22">
        <f t="shared" si="57"/>
        <v>126.14359137841807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9">
        <f t="shared" si="59"/>
        <v>1004.1270539314644</v>
      </c>
      <c r="AN88" s="59">
        <f ca="1">AVERAGE(OFFSET($AM$3,0,0,'Données projet'!$E$10+1,1))-AVERAGE(OFFSET($H$3,0,0,'Données projet'!$E$10+1,1))</f>
        <v>392.48436003609055</v>
      </c>
      <c r="AO88" s="59">
        <f t="shared" si="90"/>
        <v>236.3312446580419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94.987425547669829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94.987425547669829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365</v>
      </c>
      <c r="BB88" s="12">
        <f>VLOOKUP(A88,'Données projet'!$A$87:$I$107,9,0)</f>
        <v>8.4</v>
      </c>
      <c r="BC88" s="12">
        <f t="array" ref="BC88">INDEX(BB:BB,MIN(IF(ISNUMBER(BB88:BB284),ROW(BB88:BB284),"")))</f>
        <v>8.4</v>
      </c>
      <c r="BD88" s="12">
        <f>IF('Données projet'!$A$88&gt;35,BD87+BC88-BL87,IF(A88&lt;'Données projet'!$A$88,$BA$205^A88,IF(A88='Données projet'!$A$88,'Données projet'!$B$88,BD87+BC88-BL87)))</f>
        <v>364.99999999999977</v>
      </c>
      <c r="BE88" s="13">
        <f>BD88*VLOOKUP('Données projet'!$B$11,Paramètres!$A$1:$I$89,3,0)*VLOOKUP('Données projet'!$B$11,Paramètres!$A$1:$I$89,5,0)</f>
        <v>313.16999999999985</v>
      </c>
      <c r="BF88" s="13">
        <f t="shared" si="91"/>
        <v>73.930459835341836</v>
      </c>
      <c r="BG88" s="20">
        <f t="shared" si="61"/>
        <v>674.19996754655335</v>
      </c>
      <c r="BH88" s="59">
        <f t="shared" si="62"/>
        <v>967.53330087988661</v>
      </c>
      <c r="BI88" s="59">
        <f ca="1">AVERAGE(OFFSET($BH$3,0,0,'Données projet'!$E$11+1,1))-AVERAGE(OFFSET($H$3,0,0,'Données projet'!$E$11+1,1))</f>
        <v>352.61091660077574</v>
      </c>
      <c r="BJ88" s="59">
        <f t="shared" si="92"/>
        <v>186.48649111821521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27</v>
      </c>
      <c r="BM88" s="16">
        <f>IF(ISNA(VLOOKUP(A88,'Données projet'!$A$87:$I$107,5,0)),0%,VLOOKUP(A88,'Données projet'!$A$87:$I$107,5,0)*VLOOKUP('Données projet'!$B$11,Paramètres!$A$1:$I$89,7,0))</f>
        <v>0.53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98.562896063817888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98.562896063817888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795.00000000000068</v>
      </c>
      <c r="O89" s="13">
        <f>N89*VLOOKUP('Données projet'!$B$9,Paramètres!$A$1:$I$89,3,0)*VLOOKUP('Données projet'!$B$9,Paramètres!$A$1:$I$89,5,0)</f>
        <v>372.06000000000029</v>
      </c>
      <c r="P89" s="13">
        <f t="shared" si="87"/>
        <v>86.088609967897526</v>
      </c>
      <c r="Q89" s="20">
        <f t="shared" si="54"/>
        <v>797.94216236075533</v>
      </c>
      <c r="R89" s="59">
        <f t="shared" si="55"/>
        <v>1091.2754956940887</v>
      </c>
      <c r="S89" s="59">
        <f ca="1">AVERAGE(OFFSET($R$3,0,0,'Données projet'!$E$9+1,1))-AVERAGE(OFFSET($H$3,0,0,'Données projet'!$E$9+1,1))</f>
        <v>379.12827535040157</v>
      </c>
      <c r="T89" s="59">
        <f t="shared" si="88"/>
        <v>317.29813413796956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114.1677920844308</v>
      </c>
      <c r="AA89" s="21">
        <f>EXP(-LN(2)/25)*AA88+(1-EXP(-LN(2)/25))/(LN(2)/25)*Calculateur!V89*Calculateur!X89*VLOOKUP('Données projet'!$B$9,Paramètres!$A$1:$I$89,3,0)*0.475*44/12</f>
        <v>9.4272243546121981</v>
      </c>
      <c r="AB89" s="21">
        <f>EXP(-LN(2)/2)*AB88+(1-EXP(-LN(2)/2))/(LN(2)/2)*V89*Y89*VLOOKUP('Données projet'!$B$9,Paramètres!$A$1:$I$89,3,0)*0.475*44/12</f>
        <v>1.6038541910590183E-9</v>
      </c>
      <c r="AC89" s="22">
        <f t="shared" si="57"/>
        <v>123.59501644064684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9">
        <f t="shared" si="59"/>
        <v>958.04189470605093</v>
      </c>
      <c r="AN89" s="59">
        <f ca="1">AVERAGE(OFFSET($AM$3,0,0,'Données projet'!$E$10+1,1))-AVERAGE(OFFSET($H$3,0,0,'Données projet'!$E$10+1,1))</f>
        <v>392.48436003609055</v>
      </c>
      <c r="AO89" s="59">
        <f t="shared" si="90"/>
        <v>236.3312446580419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93.124780069288846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93.124780069288846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</v>
      </c>
      <c r="BD89" s="12">
        <f>IF('Données projet'!$A$88&gt;35,BD88+BC89-BL88,IF(A89&lt;'Données projet'!$A$88,$BA$205^A89,IF(A89='Données projet'!$A$88,'Données projet'!$B$88,BD88+BC89-BL88)))</f>
        <v>345.79999999999978</v>
      </c>
      <c r="BE89" s="13">
        <f>BD89*VLOOKUP('Données projet'!$B$11,Paramètres!$A$1:$I$89,3,0)*VLOOKUP('Données projet'!$B$11,Paramètres!$A$1:$I$89,5,0)</f>
        <v>296.69639999999981</v>
      </c>
      <c r="BF89" s="13">
        <f t="shared" si="91"/>
        <v>70.48345633189993</v>
      </c>
      <c r="BG89" s="20">
        <f t="shared" si="61"/>
        <v>639.50491644472538</v>
      </c>
      <c r="BH89" s="59">
        <f t="shared" si="62"/>
        <v>932.83824977805875</v>
      </c>
      <c r="BI89" s="59">
        <f ca="1">AVERAGE(OFFSET($BH$3,0,0,'Données projet'!$E$11+1,1))-AVERAGE(OFFSET($H$3,0,0,'Données projet'!$E$11+1,1))</f>
        <v>352.61091660077574</v>
      </c>
      <c r="BJ89" s="59">
        <f t="shared" si="92"/>
        <v>186.48649111821521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96.630137789436915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96.630137789436915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795.00000000000068</v>
      </c>
      <c r="O90" s="13">
        <f>N90*VLOOKUP('Données projet'!$B$9,Paramètres!$A$1:$I$89,3,0)*VLOOKUP('Données projet'!$B$9,Paramètres!$A$1:$I$89,5,0)</f>
        <v>372.06000000000029</v>
      </c>
      <c r="P90" s="13">
        <f t="shared" si="87"/>
        <v>86.088609967897526</v>
      </c>
      <c r="Q90" s="20">
        <f t="shared" si="54"/>
        <v>797.94216236075533</v>
      </c>
      <c r="R90" s="59">
        <f t="shared" si="55"/>
        <v>1091.2754956940887</v>
      </c>
      <c r="S90" s="59">
        <f ca="1">AVERAGE(OFFSET($R$3,0,0,'Données projet'!$E$9+1,1))-AVERAGE(OFFSET($H$3,0,0,'Données projet'!$E$9+1,1))</f>
        <v>379.12827535040157</v>
      </c>
      <c r="T90" s="59">
        <f t="shared" si="88"/>
        <v>317.29813413796956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111.92903131713236</v>
      </c>
      <c r="AA90" s="21">
        <f>EXP(-LN(2)/25)*AA89+(1-EXP(-LN(2)/25))/(LN(2)/25)*Calculateur!V90*Calculateur!X90*VLOOKUP('Données projet'!$B$9,Paramètres!$A$1:$I$89,3,0)*0.475*44/12</f>
        <v>9.1694364088791449</v>
      </c>
      <c r="AB90" s="21">
        <f>EXP(-LN(2)/2)*AB89+(1-EXP(-LN(2)/2))/(LN(2)/2)*V90*Y90*VLOOKUP('Données projet'!$B$9,Paramètres!$A$1:$I$89,3,0)*0.475*44/12</f>
        <v>1.1340961745322964E-9</v>
      </c>
      <c r="AC90" s="22">
        <f t="shared" si="57"/>
        <v>121.0984677271456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971.70339413822694</v>
      </c>
      <c r="AN90" s="59">
        <f ca="1">AVERAGE(OFFSET($AM$3,0,0,'Données projet'!$E$10+1,1))-AVERAGE(OFFSET($H$3,0,0,'Données projet'!$E$10+1,1))</f>
        <v>392.48436003609055</v>
      </c>
      <c r="AO90" s="59">
        <f t="shared" si="90"/>
        <v>236.3312446580419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91.298659932637349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91.298659932637349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</v>
      </c>
      <c r="BD90" s="12">
        <f>IF('Données projet'!$A$88&gt;35,BD89+BC90-BL89,IF(A90&lt;'Données projet'!$A$88,$BA$205^A90,IF(A90='Données projet'!$A$88,'Données projet'!$B$88,BD89+BC90-BL89)))</f>
        <v>353.5999999999998</v>
      </c>
      <c r="BE90" s="13">
        <f>BD90*VLOOKUP('Données projet'!$B$11,Paramètres!$A$1:$I$89,3,0)*VLOOKUP('Données projet'!$B$11,Paramètres!$A$1:$I$89,5,0)</f>
        <v>303.38879999999989</v>
      </c>
      <c r="BF90" s="13">
        <f t="shared" si="91"/>
        <v>71.88642102141435</v>
      </c>
      <c r="BG90" s="20">
        <f t="shared" si="61"/>
        <v>653.60434327896314</v>
      </c>
      <c r="BH90" s="59">
        <f t="shared" si="62"/>
        <v>946.9376766122964</v>
      </c>
      <c r="BI90" s="59">
        <f ca="1">AVERAGE(OFFSET($BH$3,0,0,'Données projet'!$E$11+1,1))-AVERAGE(OFFSET($H$3,0,0,'Données projet'!$E$11+1,1))</f>
        <v>352.61091660077574</v>
      </c>
      <c r="BJ90" s="59">
        <f t="shared" si="92"/>
        <v>186.48649111821521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94.735279725950406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94.735279725950406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795.00000000000068</v>
      </c>
      <c r="O91" s="13">
        <f>N91*VLOOKUP('Données projet'!$B$9,Paramètres!$A$1:$I$89,3,0)*VLOOKUP('Données projet'!$B$9,Paramètres!$A$1:$I$89,5,0)</f>
        <v>372.06000000000029</v>
      </c>
      <c r="P91" s="13">
        <f t="shared" si="87"/>
        <v>86.088609967897526</v>
      </c>
      <c r="Q91" s="20">
        <f t="shared" si="54"/>
        <v>797.94216236075533</v>
      </c>
      <c r="R91" s="59">
        <f t="shared" si="55"/>
        <v>1091.2754956940887</v>
      </c>
      <c r="S91" s="59">
        <f ca="1">AVERAGE(OFFSET($R$3,0,0,'Données projet'!$E$9+1,1))-AVERAGE(OFFSET($H$3,0,0,'Données projet'!$E$9+1,1))</f>
        <v>379.12827535040157</v>
      </c>
      <c r="T91" s="59">
        <f t="shared" si="88"/>
        <v>317.29813413796956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109.73417128297139</v>
      </c>
      <c r="AA91" s="21">
        <f>EXP(-LN(2)/25)*AA90+(1-EXP(-LN(2)/25))/(LN(2)/25)*Calculateur!V91*Calculateur!X91*VLOOKUP('Données projet'!$B$9,Paramètres!$A$1:$I$89,3,0)*0.475*44/12</f>
        <v>8.9186976880786411</v>
      </c>
      <c r="AB91" s="21">
        <f>EXP(-LN(2)/2)*AB90+(1-EXP(-LN(2)/2))/(LN(2)/2)*V91*Y91*VLOOKUP('Données projet'!$B$9,Paramètres!$A$1:$I$89,3,0)*0.475*44/12</f>
        <v>8.0192709552950915E-10</v>
      </c>
      <c r="AC91" s="22">
        <f t="shared" si="57"/>
        <v>118.65286897185196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9">
        <f t="shared" si="59"/>
        <v>985.35924613408997</v>
      </c>
      <c r="AN91" s="59">
        <f ca="1">AVERAGE(OFFSET($AM$3,0,0,'Données projet'!$E$10+1,1))-AVERAGE(OFFSET($H$3,0,0,'Données projet'!$E$10+1,1))</f>
        <v>392.48436003609055</v>
      </c>
      <c r="AO91" s="59">
        <f t="shared" si="90"/>
        <v>236.3312446580419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89.508348898042286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89.508348898042286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</v>
      </c>
      <c r="BD91" s="12">
        <f>IF('Données projet'!$A$88&gt;35,BD90+BC91-BL90,IF(A91&lt;'Données projet'!$A$88,$BA$205^A91,IF(A91='Données projet'!$A$88,'Données projet'!$B$88,BD90+BC91-BL90)))</f>
        <v>361.39999999999981</v>
      </c>
      <c r="BE91" s="13">
        <f>BD91*VLOOKUP('Données projet'!$B$11,Paramètres!$A$1:$I$89,3,0)*VLOOKUP('Données projet'!$B$11,Paramètres!$A$1:$I$89,5,0)</f>
        <v>310.08119999999985</v>
      </c>
      <c r="BF91" s="13">
        <f t="shared" si="91"/>
        <v>73.285787705139427</v>
      </c>
      <c r="BG91" s="20">
        <f t="shared" si="61"/>
        <v>667.69750358645092</v>
      </c>
      <c r="BH91" s="59">
        <f t="shared" si="62"/>
        <v>961.03083691978418</v>
      </c>
      <c r="BI91" s="59">
        <f ca="1">AVERAGE(OFFSET($BH$3,0,0,'Données projet'!$E$11+1,1))-AVERAGE(OFFSET($H$3,0,0,'Données projet'!$E$11+1,1))</f>
        <v>352.61091660077574</v>
      </c>
      <c r="BJ91" s="59">
        <f t="shared" si="92"/>
        <v>186.48649111821521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92.877578673339571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92.877578673339571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795.00000000000068</v>
      </c>
      <c r="O92" s="13">
        <f>N92*VLOOKUP('Données projet'!$B$9,Paramètres!$A$1:$I$89,3,0)*VLOOKUP('Données projet'!$B$9,Paramètres!$A$1:$I$89,5,0)</f>
        <v>372.06000000000029</v>
      </c>
      <c r="P92" s="13">
        <f t="shared" si="87"/>
        <v>86.088609967897526</v>
      </c>
      <c r="Q92" s="20">
        <f t="shared" si="54"/>
        <v>797.94216236075533</v>
      </c>
      <c r="R92" s="59">
        <f t="shared" si="55"/>
        <v>1091.2754956940887</v>
      </c>
      <c r="S92" s="59">
        <f ca="1">AVERAGE(OFFSET($R$3,0,0,'Données projet'!$E$9+1,1))-AVERAGE(OFFSET($H$3,0,0,'Données projet'!$E$9+1,1))</f>
        <v>379.12827535040157</v>
      </c>
      <c r="T92" s="59">
        <f t="shared" si="88"/>
        <v>317.29813413796956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107.58235111534789</v>
      </c>
      <c r="AA92" s="21">
        <f>EXP(-LN(2)/25)*AA91+(1-EXP(-LN(2)/25))/(LN(2)/25)*Calculateur!V92*Calculateur!X92*VLOOKUP('Données projet'!$B$9,Paramètres!$A$1:$I$89,3,0)*0.475*44/12</f>
        <v>8.6748154307842036</v>
      </c>
      <c r="AB92" s="21">
        <f>EXP(-LN(2)/2)*AB91+(1-EXP(-LN(2)/2))/(LN(2)/2)*V92*Y92*VLOOKUP('Données projet'!$B$9,Paramètres!$A$1:$I$89,3,0)*0.475*44/12</f>
        <v>5.6704808726614822E-10</v>
      </c>
      <c r="AC92" s="22">
        <f t="shared" si="57"/>
        <v>116.25716654669914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999.00957777081771</v>
      </c>
      <c r="AN92" s="59">
        <f ca="1">AVERAGE(OFFSET($AM$3,0,0,'Données projet'!$E$10+1,1))-AVERAGE(OFFSET($H$3,0,0,'Données projet'!$E$10+1,1))</f>
        <v>392.48436003609055</v>
      </c>
      <c r="AO92" s="59">
        <f t="shared" si="90"/>
        <v>236.3312446580419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87.753144770853723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87.753144770853723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</v>
      </c>
      <c r="BD92" s="12">
        <f>IF('Données projet'!$A$88&gt;35,BD91+BC92-BL91,IF(A92&lt;'Données projet'!$A$88,$BA$205^A92,IF(A92='Données projet'!$A$88,'Données projet'!$B$88,BD91+BC92-BL91)))</f>
        <v>369.19999999999982</v>
      </c>
      <c r="BE92" s="13">
        <f>BD92*VLOOKUP('Données projet'!$B$11,Paramètres!$A$1:$I$89,3,0)*VLOOKUP('Données projet'!$B$11,Paramètres!$A$1:$I$89,5,0)</f>
        <v>316.77359999999987</v>
      </c>
      <c r="BF92" s="13">
        <f t="shared" si="91"/>
        <v>74.681642981668006</v>
      </c>
      <c r="BG92" s="20">
        <f t="shared" si="61"/>
        <v>681.78454819307149</v>
      </c>
      <c r="BH92" s="59">
        <f t="shared" si="62"/>
        <v>975.11788152640474</v>
      </c>
      <c r="BI92" s="59">
        <f ca="1">AVERAGE(OFFSET($BH$3,0,0,'Données projet'!$E$11+1,1))-AVERAGE(OFFSET($H$3,0,0,'Données projet'!$E$11+1,1))</f>
        <v>352.61091660077574</v>
      </c>
      <c r="BJ92" s="59">
        <f t="shared" si="92"/>
        <v>186.48649111821521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91.056306005284682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91.056306005284682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795.00000000000068</v>
      </c>
      <c r="O93" s="13">
        <f>N93*VLOOKUP('Données projet'!$B$9,Paramètres!$A$1:$I$89,3,0)*VLOOKUP('Données projet'!$B$9,Paramètres!$A$1:$I$89,5,0)</f>
        <v>372.06000000000029</v>
      </c>
      <c r="P93" s="13">
        <f t="shared" si="87"/>
        <v>86.088609967897526</v>
      </c>
      <c r="Q93" s="20">
        <f t="shared" si="54"/>
        <v>797.94216236075533</v>
      </c>
      <c r="R93" s="59">
        <f t="shared" si="55"/>
        <v>1091.2754956940887</v>
      </c>
      <c r="S93" s="59">
        <f ca="1">AVERAGE(OFFSET($R$3,0,0,'Données projet'!$E$9+1,1))-AVERAGE(OFFSET($H$3,0,0,'Données projet'!$E$9+1,1))</f>
        <v>379.12827535040157</v>
      </c>
      <c r="T93" s="59">
        <f t="shared" si="88"/>
        <v>317.29813413796956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105.47272682873079</v>
      </c>
      <c r="AA93" s="21">
        <f>EXP(-LN(2)/25)*AA92+(1-EXP(-LN(2)/25))/(LN(2)/25)*Calculateur!V93*Calculateur!X93*VLOOKUP('Données projet'!$B$9,Paramètres!$A$1:$I$89,3,0)*0.475*44/12</f>
        <v>8.4376021466406925</v>
      </c>
      <c r="AB93" s="21">
        <f>EXP(-LN(2)/2)*AB92+(1-EXP(-LN(2)/2))/(LN(2)/2)*V93*Y93*VLOOKUP('Données projet'!$B$9,Paramètres!$A$1:$I$89,3,0)*0.475*44/12</f>
        <v>4.0096354776475457E-10</v>
      </c>
      <c r="AC93" s="22">
        <f t="shared" si="57"/>
        <v>113.91032897577243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1012.6545108115854</v>
      </c>
      <c r="AN93" s="59">
        <f ca="1">AVERAGE(OFFSET($AM$3,0,0,'Données projet'!$E$10+1,1))-AVERAGE(OFFSET($H$3,0,0,'Données projet'!$E$10+1,1))</f>
        <v>392.48436003609055</v>
      </c>
      <c r="AO93" s="59">
        <f t="shared" si="90"/>
        <v>236.3312446580419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99.528560582781324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99.528560582781324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377</v>
      </c>
      <c r="BB93" s="12">
        <f>VLOOKUP(A93,'Données projet'!$A$87:$I$107,9,0)</f>
        <v>7.8</v>
      </c>
      <c r="BC93" s="12">
        <f t="array" ref="BC93">INDEX(BB:BB,MIN(IF(ISNUMBER(BB93:BB289),ROW(BB93:BB289),"")))</f>
        <v>7.8</v>
      </c>
      <c r="BD93" s="12">
        <f>IF('Données projet'!$A$88&gt;35,BD92+BC93-BL92,IF(A93&lt;'Données projet'!$A$88,$BA$205^A93,IF(A93='Données projet'!$A$88,'Données projet'!$B$88,BD92+BC93-BL92)))</f>
        <v>376.99999999999983</v>
      </c>
      <c r="BE93" s="13">
        <f>BD93*VLOOKUP('Données projet'!$B$11,Paramètres!$A$1:$I$89,3,0)*VLOOKUP('Données projet'!$B$11,Paramètres!$A$1:$I$89,5,0)</f>
        <v>323.46599999999989</v>
      </c>
      <c r="BF93" s="13">
        <f t="shared" si="91"/>
        <v>76.074069581431147</v>
      </c>
      <c r="BG93" s="20">
        <f t="shared" si="61"/>
        <v>695.86562118765903</v>
      </c>
      <c r="BH93" s="59">
        <f t="shared" si="62"/>
        <v>989.1989545209924</v>
      </c>
      <c r="BI93" s="59">
        <f ca="1">AVERAGE(OFFSET($BH$3,0,0,'Données projet'!$E$11+1,1))-AVERAGE(OFFSET($H$3,0,0,'Données projet'!$E$11+1,1))</f>
        <v>352.61091660077574</v>
      </c>
      <c r="BJ93" s="59">
        <f t="shared" si="92"/>
        <v>186.48649111821521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26</v>
      </c>
      <c r="BM93" s="16">
        <f>IF(ISNA(VLOOKUP(A93,'Données projet'!$A$87:$I$107,5,0)),0%,VLOOKUP(A93,'Données projet'!$A$87:$I$107,5,0)*VLOOKUP('Données projet'!$B$11,Paramètres!$A$1:$I$89,7,0))</f>
        <v>0.53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102.34098899349287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102.34098899349287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795.00000000000068</v>
      </c>
      <c r="O94" s="13">
        <f>N94*VLOOKUP('Données projet'!$B$9,Paramètres!$A$1:$I$89,3,0)*VLOOKUP('Données projet'!$B$9,Paramètres!$A$1:$I$89,5,0)</f>
        <v>372.06000000000029</v>
      </c>
      <c r="P94" s="13">
        <f t="shared" si="87"/>
        <v>86.088609967897526</v>
      </c>
      <c r="Q94" s="20">
        <f t="shared" si="54"/>
        <v>797.94216236075533</v>
      </c>
      <c r="R94" s="59">
        <f t="shared" si="55"/>
        <v>1091.2754956940887</v>
      </c>
      <c r="S94" s="59">
        <f ca="1">AVERAGE(OFFSET($R$3,0,0,'Données projet'!$E$9+1,1))-AVERAGE(OFFSET($H$3,0,0,'Données projet'!$E$9+1,1))</f>
        <v>379.12827535040157</v>
      </c>
      <c r="T94" s="59">
        <f t="shared" si="88"/>
        <v>317.29813413796956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103.40447098763048</v>
      </c>
      <c r="AA94" s="21">
        <f>EXP(-LN(2)/25)*AA93+(1-EXP(-LN(2)/25))/(LN(2)/25)*Calculateur!V94*Calculateur!X94*VLOOKUP('Données projet'!$B$9,Paramètres!$A$1:$I$89,3,0)*0.475*44/12</f>
        <v>8.2068754722265904</v>
      </c>
      <c r="AB94" s="21">
        <f>EXP(-LN(2)/2)*AB93+(1-EXP(-LN(2)/2))/(LN(2)/2)*V94*Y94*VLOOKUP('Données projet'!$B$9,Paramètres!$A$1:$I$89,3,0)*0.475*44/12</f>
        <v>2.8352404363307411E-10</v>
      </c>
      <c r="AC94" s="22">
        <f t="shared" si="57"/>
        <v>111.61134646014058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9">
        <f t="shared" si="59"/>
        <v>966.15409847838509</v>
      </c>
      <c r="AN94" s="59">
        <f ca="1">AVERAGE(OFFSET($AM$3,0,0,'Données projet'!$E$10+1,1))-AVERAGE(OFFSET($H$3,0,0,'Données projet'!$E$10+1,1))</f>
        <v>392.48436003609055</v>
      </c>
      <c r="AO94" s="59">
        <f t="shared" si="90"/>
        <v>236.3312446580419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97.576866216180676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97.576866216180676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</v>
      </c>
      <c r="BD94" s="12">
        <f>IF('Données projet'!$A$88&gt;35,BD93+BC94-BL93,IF(A94&lt;'Données projet'!$A$88,$BA$205^A94,IF(A94='Données projet'!$A$88,'Données projet'!$B$88,BD93+BC94-BL93)))</f>
        <v>358.59999999999985</v>
      </c>
      <c r="BE94" s="13">
        <f>BD94*VLOOKUP('Données projet'!$B$11,Paramètres!$A$1:$I$89,3,0)*VLOOKUP('Données projet'!$B$11,Paramètres!$A$1:$I$89,5,0)</f>
        <v>307.67879999999991</v>
      </c>
      <c r="BF94" s="13">
        <f t="shared" si="91"/>
        <v>72.783859383050768</v>
      </c>
      <c r="BG94" s="20">
        <f t="shared" si="61"/>
        <v>662.63913175881328</v>
      </c>
      <c r="BH94" s="59">
        <f t="shared" si="62"/>
        <v>955.97246509214665</v>
      </c>
      <c r="BI94" s="59">
        <f ca="1">AVERAGE(OFFSET($BH$3,0,0,'Données projet'!$E$11+1,1))-AVERAGE(OFFSET($H$3,0,0,'Données projet'!$E$11+1,1))</f>
        <v>352.61091660077574</v>
      </c>
      <c r="BJ94" s="59">
        <f t="shared" si="92"/>
        <v>186.48649111821521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100.33414462117011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100.33414462117011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795.00000000000068</v>
      </c>
      <c r="O95" s="13">
        <f>N95*VLOOKUP('Données projet'!$B$9,Paramètres!$A$1:$I$89,3,0)*VLOOKUP('Données projet'!$B$9,Paramètres!$A$1:$I$89,5,0)</f>
        <v>372.06000000000029</v>
      </c>
      <c r="P95" s="13">
        <f t="shared" si="87"/>
        <v>86.088609967897526</v>
      </c>
      <c r="Q95" s="20">
        <f t="shared" si="54"/>
        <v>797.94216236075533</v>
      </c>
      <c r="R95" s="59">
        <f t="shared" si="55"/>
        <v>1091.2754956940887</v>
      </c>
      <c r="S95" s="59">
        <f ca="1">AVERAGE(OFFSET($R$3,0,0,'Données projet'!$E$9+1,1))-AVERAGE(OFFSET($H$3,0,0,'Données projet'!$E$9+1,1))</f>
        <v>379.12827535040157</v>
      </c>
      <c r="T95" s="59">
        <f t="shared" si="88"/>
        <v>317.29813413796956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101.37677238206265</v>
      </c>
      <c r="AA95" s="21">
        <f>EXP(-LN(2)/25)*AA94+(1-EXP(-LN(2)/25))/(LN(2)/25)*Calculateur!V95*Calculateur!X95*VLOOKUP('Données projet'!$B$9,Paramètres!$A$1:$I$89,3,0)*0.475*44/12</f>
        <v>7.98245803085773</v>
      </c>
      <c r="AB95" s="21">
        <f>EXP(-LN(2)/2)*AB94+(1-EXP(-LN(2)/2))/(LN(2)/2)*V95*Y95*VLOOKUP('Données projet'!$B$9,Paramètres!$A$1:$I$89,3,0)*0.475*44/12</f>
        <v>2.0048177388237729E-10</v>
      </c>
      <c r="AC95" s="22">
        <f t="shared" si="57"/>
        <v>109.35923041312087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318.80159999999995</v>
      </c>
      <c r="AK95" s="13">
        <f t="shared" si="89"/>
        <v>75.103948812522063</v>
      </c>
      <c r="AL95" s="20">
        <f t="shared" si="58"/>
        <v>686.05216418180908</v>
      </c>
      <c r="AM95" s="59">
        <f t="shared" si="59"/>
        <v>979.38549751514233</v>
      </c>
      <c r="AN95" s="59">
        <f ca="1">AVERAGE(OFFSET($AM$3,0,0,'Données projet'!$E$10+1,1))-AVERAGE(OFFSET($H$3,0,0,'Données projet'!$E$10+1,1))</f>
        <v>392.48436003609055</v>
      </c>
      <c r="AO95" s="59">
        <f t="shared" si="90"/>
        <v>236.3312446580419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95.663443385693043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95.663443385693043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</v>
      </c>
      <c r="BD95" s="12">
        <f>IF('Données projet'!$A$88&gt;35,BD94+BC95-BL94,IF(A95&lt;'Données projet'!$A$88,$BA$205^A95,IF(A95='Données projet'!$A$88,'Données projet'!$B$88,BD94+BC95-BL94)))</f>
        <v>366.19999999999987</v>
      </c>
      <c r="BE95" s="13">
        <f>BD95*VLOOKUP('Données projet'!$B$11,Paramètres!$A$1:$I$89,3,0)*VLOOKUP('Données projet'!$B$11,Paramètres!$A$1:$I$89,5,0)</f>
        <v>314.19959999999992</v>
      </c>
      <c r="BF95" s="13">
        <f t="shared" si="91"/>
        <v>74.145185764564587</v>
      </c>
      <c r="BG95" s="20">
        <f t="shared" si="61"/>
        <v>676.36716853994983</v>
      </c>
      <c r="BH95" s="59">
        <f t="shared" si="62"/>
        <v>969.7005018732832</v>
      </c>
      <c r="BI95" s="59">
        <f ca="1">AVERAGE(OFFSET($BH$3,0,0,'Données projet'!$E$11+1,1))-AVERAGE(OFFSET($H$3,0,0,'Données projet'!$E$11+1,1))</f>
        <v>352.61091660077574</v>
      </c>
      <c r="BJ95" s="59">
        <f t="shared" si="92"/>
        <v>186.48649111821521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98.366653242934404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98.366653242934404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795.00000000000068</v>
      </c>
      <c r="O96" s="13">
        <f>N96*VLOOKUP('Données projet'!$B$9,Paramètres!$A$1:$I$89,3,0)*VLOOKUP('Données projet'!$B$9,Paramètres!$A$1:$I$89,5,0)</f>
        <v>372.06000000000029</v>
      </c>
      <c r="P96" s="13">
        <f t="shared" si="87"/>
        <v>86.088609967897526</v>
      </c>
      <c r="Q96" s="20">
        <f t="shared" si="54"/>
        <v>797.94216236075533</v>
      </c>
      <c r="R96" s="59">
        <f t="shared" si="55"/>
        <v>1091.2754956940887</v>
      </c>
      <c r="S96" s="59">
        <f ca="1">AVERAGE(OFFSET($R$3,0,0,'Données projet'!$E$9+1,1))-AVERAGE(OFFSET($H$3,0,0,'Données projet'!$E$9+1,1))</f>
        <v>379.12827535040157</v>
      </c>
      <c r="T96" s="59">
        <f t="shared" si="88"/>
        <v>317.29813413796956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99.388835709375982</v>
      </c>
      <c r="AA96" s="21">
        <f>EXP(-LN(2)/25)*AA95+(1-EXP(-LN(2)/25))/(LN(2)/25)*Calculateur!V96*Calculateur!X96*VLOOKUP('Données projet'!$B$9,Paramètres!$A$1:$I$89,3,0)*0.475*44/12</f>
        <v>7.7641772962247018</v>
      </c>
      <c r="AB96" s="21">
        <f>EXP(-LN(2)/2)*AB95+(1-EXP(-LN(2)/2))/(LN(2)/2)*V96*Y96*VLOOKUP('Données projet'!$B$9,Paramètres!$A$1:$I$89,3,0)*0.475*44/12</f>
        <v>1.4176202181653705E-10</v>
      </c>
      <c r="AC96" s="22">
        <f t="shared" si="57"/>
        <v>107.15301300574245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325.08839999999992</v>
      </c>
      <c r="AK96" s="13">
        <f t="shared" si="89"/>
        <v>76.411120176279823</v>
      </c>
      <c r="AL96" s="20">
        <f t="shared" si="58"/>
        <v>699.27833097368728</v>
      </c>
      <c r="AM96" s="59">
        <f t="shared" si="59"/>
        <v>992.61166430702065</v>
      </c>
      <c r="AN96" s="59">
        <f ca="1">AVERAGE(OFFSET($AM$3,0,0,'Données projet'!$E$10+1,1))-AVERAGE(OFFSET($H$3,0,0,'Données projet'!$E$10+1,1))</f>
        <v>392.48436003609055</v>
      </c>
      <c r="AO96" s="59">
        <f t="shared" si="90"/>
        <v>236.3312446580419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93.787541609838584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93.787541609838584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7.6</v>
      </c>
      <c r="BD96" s="12">
        <f>IF('Données projet'!$A$88&gt;35,BD95+BC96-BL95,IF(A96&lt;'Données projet'!$A$88,$BA$205^A96,IF(A96='Données projet'!$A$88,'Données projet'!$B$88,BD95+BC96-BL95)))</f>
        <v>373.7999999999999</v>
      </c>
      <c r="BE96" s="13">
        <f>BD96*VLOOKUP('Données projet'!$B$11,Paramètres!$A$1:$I$89,3,0)*VLOOKUP('Données projet'!$B$11,Paramètres!$A$1:$I$89,5,0)</f>
        <v>320.72039999999993</v>
      </c>
      <c r="BF96" s="13">
        <f t="shared" si="91"/>
        <v>75.503227270035708</v>
      </c>
      <c r="BG96" s="20">
        <f t="shared" si="61"/>
        <v>690.0894841619787</v>
      </c>
      <c r="BH96" s="59">
        <f t="shared" si="62"/>
        <v>983.42281749531207</v>
      </c>
      <c r="BI96" s="59">
        <f ca="1">AVERAGE(OFFSET($BH$3,0,0,'Données projet'!$E$11+1,1))-AVERAGE(OFFSET($H$3,0,0,'Données projet'!$E$11+1,1))</f>
        <v>352.61091660077574</v>
      </c>
      <c r="BJ96" s="59">
        <f t="shared" si="92"/>
        <v>186.48649111821521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96.437743170574649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96.437743170574649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795.00000000000068</v>
      </c>
      <c r="O97" s="13">
        <f>N97*VLOOKUP('Données projet'!$B$9,Paramètres!$A$1:$I$89,3,0)*VLOOKUP('Données projet'!$B$9,Paramètres!$A$1:$I$89,5,0)</f>
        <v>372.06000000000029</v>
      </c>
      <c r="P97" s="13">
        <f t="shared" si="87"/>
        <v>86.088609967897526</v>
      </c>
      <c r="Q97" s="20">
        <f t="shared" si="54"/>
        <v>797.94216236075533</v>
      </c>
      <c r="R97" s="59">
        <f t="shared" si="55"/>
        <v>1091.2754956940887</v>
      </c>
      <c r="S97" s="59">
        <f ca="1">AVERAGE(OFFSET($R$3,0,0,'Données projet'!$E$9+1,1))-AVERAGE(OFFSET($H$3,0,0,'Données projet'!$E$9+1,1))</f>
        <v>379.12827535040157</v>
      </c>
      <c r="T97" s="59">
        <f t="shared" si="88"/>
        <v>317.29813413796956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97.439881262319062</v>
      </c>
      <c r="AA97" s="21">
        <f>EXP(-LN(2)/25)*AA96+(1-EXP(-LN(2)/25))/(LN(2)/25)*Calculateur!V97*Calculateur!X97*VLOOKUP('Données projet'!$B$9,Paramètres!$A$1:$I$89,3,0)*0.475*44/12</f>
        <v>7.5518654597590986</v>
      </c>
      <c r="AB97" s="21">
        <f>EXP(-LN(2)/2)*AB96+(1-EXP(-LN(2)/2))/(LN(2)/2)*V97*Y97*VLOOKUP('Données projet'!$B$9,Paramètres!$A$1:$I$89,3,0)*0.475*44/12</f>
        <v>1.0024088694118864E-10</v>
      </c>
      <c r="AC97" s="22">
        <f t="shared" si="57"/>
        <v>104.99174672217841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331.37519999999989</v>
      </c>
      <c r="AK97" s="13">
        <f t="shared" si="89"/>
        <v>77.715352174616896</v>
      </c>
      <c r="AL97" s="20">
        <f t="shared" si="58"/>
        <v>712.49937837079085</v>
      </c>
      <c r="AM97" s="59">
        <f t="shared" si="59"/>
        <v>1005.8327117041242</v>
      </c>
      <c r="AN97" s="59">
        <f ca="1">AVERAGE(OFFSET($AM$3,0,0,'Données projet'!$E$10+1,1))-AVERAGE(OFFSET($H$3,0,0,'Données projet'!$E$10+1,1))</f>
        <v>392.48436003609055</v>
      </c>
      <c r="AO97" s="59">
        <f t="shared" si="90"/>
        <v>236.3312446580419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91.948425123621533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91.948425123621533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7.6</v>
      </c>
      <c r="BD97" s="12">
        <f>IF('Données projet'!$A$88&gt;35,BD96+BC97-BL96,IF(A97&lt;'Données projet'!$A$88,$BA$205^A97,IF(A97='Données projet'!$A$88,'Données projet'!$B$88,BD96+BC97-BL96)))</f>
        <v>381.39999999999992</v>
      </c>
      <c r="BE97" s="13">
        <f>BD97*VLOOKUP('Données projet'!$B$11,Paramètres!$A$1:$I$89,3,0)*VLOOKUP('Données projet'!$B$11,Paramètres!$A$1:$I$89,5,0)</f>
        <v>327.24119999999999</v>
      </c>
      <c r="BF97" s="13">
        <f t="shared" si="91"/>
        <v>76.85805838290122</v>
      </c>
      <c r="BG97" s="20">
        <f t="shared" si="61"/>
        <v>703.80620835021955</v>
      </c>
      <c r="BH97" s="59">
        <f t="shared" si="62"/>
        <v>997.13954168355281</v>
      </c>
      <c r="BI97" s="59">
        <f ca="1">AVERAGE(OFFSET($BH$3,0,0,'Données projet'!$E$11+1,1))-AVERAGE(OFFSET($H$3,0,0,'Données projet'!$E$11+1,1))</f>
        <v>352.61091660077574</v>
      </c>
      <c r="BJ97" s="59">
        <f t="shared" si="92"/>
        <v>186.48649111821521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94.546657848214906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94.546657848214906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795.00000000000068</v>
      </c>
      <c r="O98" s="13">
        <f>N98*VLOOKUP('Données projet'!$B$9,Paramètres!$A$1:$I$89,3,0)*VLOOKUP('Données projet'!$B$9,Paramètres!$A$1:$I$89,5,0)</f>
        <v>372.06000000000029</v>
      </c>
      <c r="P98" s="13">
        <f t="shared" si="87"/>
        <v>86.088609967897526</v>
      </c>
      <c r="Q98" s="20">
        <f t="shared" si="54"/>
        <v>797.94216236075533</v>
      </c>
      <c r="R98" s="59">
        <f t="shared" si="55"/>
        <v>1091.2754956940887</v>
      </c>
      <c r="S98" s="59">
        <f ca="1">AVERAGE(OFFSET($R$3,0,0,'Données projet'!$E$9+1,1))-AVERAGE(OFFSET($H$3,0,0,'Données projet'!$E$9+1,1))</f>
        <v>379.12827535040157</v>
      </c>
      <c r="T98" s="59">
        <f t="shared" si="88"/>
        <v>317.29813413796956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95.529144623224084</v>
      </c>
      <c r="AA98" s="21">
        <f>EXP(-LN(2)/25)*AA97+(1-EXP(-LN(2)/25))/(LN(2)/25)*Calculateur!V98*Calculateur!X98*VLOOKUP('Données projet'!$B$9,Paramètres!$A$1:$I$89,3,0)*0.475*44/12</f>
        <v>7.3453593016266412</v>
      </c>
      <c r="AB98" s="21">
        <f>EXP(-LN(2)/2)*AB97+(1-EXP(-LN(2)/2))/(LN(2)/2)*V98*Y98*VLOOKUP('Données projet'!$B$9,Paramètres!$A$1:$I$89,3,0)*0.475*44/12</f>
        <v>7.0881010908268527E-11</v>
      </c>
      <c r="AC98" s="22">
        <f t="shared" si="57"/>
        <v>102.87450392492161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337.66199999999992</v>
      </c>
      <c r="AK98" s="13">
        <f t="shared" si="89"/>
        <v>79.016707002632685</v>
      </c>
      <c r="AL98" s="20">
        <f t="shared" si="58"/>
        <v>725.71541469625174</v>
      </c>
      <c r="AM98" s="59">
        <f t="shared" si="59"/>
        <v>1019.0487480295851</v>
      </c>
      <c r="AN98" s="59">
        <f ca="1">AVERAGE(OFFSET($AM$3,0,0,'Données projet'!$E$10+1,1))-AVERAGE(OFFSET($H$3,0,0,'Données projet'!$E$10+1,1))</f>
        <v>392.48436003609055</v>
      </c>
      <c r="AO98" s="59">
        <f t="shared" si="90"/>
        <v>236.3312446580419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103.6415740466997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103.6415740466997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389</v>
      </c>
      <c r="BB98" s="12">
        <f>VLOOKUP(A98,'Données projet'!$A$87:$I$107,9,0)</f>
        <v>7.6</v>
      </c>
      <c r="BC98" s="12">
        <f t="array" ref="BC98">INDEX(BB:BB,MIN(IF(ISNUMBER(BB98:BB294),ROW(BB98:BB294),"")))</f>
        <v>7.6</v>
      </c>
      <c r="BD98" s="12">
        <f>IF('Données projet'!$A$88&gt;35,BD97+BC98-BL97,IF(A98&lt;'Données projet'!$A$88,$BA$205^A98,IF(A98='Données projet'!$A$88,'Données projet'!$B$88,BD97+BC98-BL97)))</f>
        <v>388.99999999999994</v>
      </c>
      <c r="BE98" s="13">
        <f>BD98*VLOOKUP('Données projet'!$B$11,Paramètres!$A$1:$I$89,3,0)*VLOOKUP('Données projet'!$B$11,Paramètres!$A$1:$I$89,5,0)</f>
        <v>333.762</v>
      </c>
      <c r="BF98" s="13">
        <f t="shared" si="91"/>
        <v>78.209750448453065</v>
      </c>
      <c r="BG98" s="20">
        <f t="shared" si="61"/>
        <v>717.51746536438895</v>
      </c>
      <c r="BH98" s="59">
        <f t="shared" si="62"/>
        <v>1010.8507986977222</v>
      </c>
      <c r="BI98" s="59">
        <f ca="1">AVERAGE(OFFSET($BH$3,0,0,'Données projet'!$E$11+1,1))-AVERAGE(OFFSET($H$3,0,0,'Données projet'!$E$11+1,1))</f>
        <v>352.61091660077574</v>
      </c>
      <c r="BJ98" s="59">
        <f t="shared" si="92"/>
        <v>186.48649111821521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25</v>
      </c>
      <c r="BM98" s="16">
        <f>IF(ISNA(VLOOKUP(A98,'Données projet'!$A$87:$I$107,5,0)),0%,VLOOKUP(A98,'Données projet'!$A$87:$I$107,5,0)*VLOOKUP('Données projet'!$B$11,Paramètres!$A$1:$I$89,7,0))</f>
        <v>0.53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105.26019556529883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105.26019556529883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795.00000000000068</v>
      </c>
      <c r="O99" s="13">
        <f>N99*VLOOKUP('Données projet'!$B$9,Paramètres!$A$1:$I$89,3,0)*VLOOKUP('Données projet'!$B$9,Paramètres!$A$1:$I$89,5,0)</f>
        <v>372.06000000000029</v>
      </c>
      <c r="P99" s="13">
        <f t="shared" si="87"/>
        <v>86.088609967897526</v>
      </c>
      <c r="Q99" s="20">
        <f t="shared" ref="Q99:Q130" si="107">(O99+P99)*0.475*44/12</f>
        <v>797.94216236075533</v>
      </c>
      <c r="R99" s="59">
        <f t="shared" si="55"/>
        <v>1091.2754956940887</v>
      </c>
      <c r="S99" s="59">
        <f ca="1">AVERAGE(OFFSET($R$3,0,0,'Données projet'!$E$9+1,1))-AVERAGE(OFFSET($H$3,0,0,'Données projet'!$E$9+1,1))</f>
        <v>379.12827535040157</v>
      </c>
      <c r="T99" s="59">
        <f t="shared" si="88"/>
        <v>317.29813413796956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93.655876364187492</v>
      </c>
      <c r="AA99" s="21">
        <f>EXP(-LN(2)/25)*AA98+(1-EXP(-LN(2)/25))/(LN(2)/25)*Calculateur!V99*Calculateur!X99*VLOOKUP('Données projet'!$B$9,Paramètres!$A$1:$I$89,3,0)*0.475*44/12</f>
        <v>7.1445000652480033</v>
      </c>
      <c r="AB99" s="21">
        <f>EXP(-LN(2)/2)*AB98+(1-EXP(-LN(2)/2))/(LN(2)/2)*V99*Y99*VLOOKUP('Données projet'!$B$9,Paramètres!$A$1:$I$89,3,0)*0.475*44/12</f>
        <v>5.0120443470594322E-11</v>
      </c>
      <c r="AC99" s="22">
        <f t="shared" si="57"/>
        <v>100.80037642948561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314.94839999999994</v>
      </c>
      <c r="AK99" s="13">
        <f t="shared" si="89"/>
        <v>74.301298626081149</v>
      </c>
      <c r="AL99" s="20">
        <f t="shared" si="58"/>
        <v>677.94322510709128</v>
      </c>
      <c r="AM99" s="59">
        <f t="shared" si="59"/>
        <v>971.27655844042465</v>
      </c>
      <c r="AN99" s="59">
        <f ca="1">AVERAGE(OFFSET($AM$3,0,0,'Données projet'!$E$10+1,1))-AVERAGE(OFFSET($H$3,0,0,'Données projet'!$E$10+1,1))</f>
        <v>392.48436003609055</v>
      </c>
      <c r="AO99" s="59">
        <f t="shared" si="90"/>
        <v>236.3312446580419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101.60922599476211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101.60922599476211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</v>
      </c>
      <c r="BD99" s="12">
        <f>IF('Données projet'!$A$88&gt;35,BD98+BC99-BL98,IF(A99&lt;'Données projet'!$A$88,$BA$205^A99,IF(A99='Données projet'!$A$88,'Données projet'!$B$88,BD98+BC99-BL98)))</f>
        <v>371.19999999999993</v>
      </c>
      <c r="BE99" s="13">
        <f>BD99*VLOOKUP('Données projet'!$B$11,Paramètres!$A$1:$I$89,3,0)*VLOOKUP('Données projet'!$B$11,Paramètres!$A$1:$I$89,5,0)</f>
        <v>318.48959999999994</v>
      </c>
      <c r="BF99" s="13">
        <f t="shared" si="91"/>
        <v>75.038999086150227</v>
      </c>
      <c r="BG99" s="20">
        <f t="shared" si="61"/>
        <v>685.39564340837808</v>
      </c>
      <c r="BH99" s="59">
        <f t="shared" si="62"/>
        <v>978.72897674171145</v>
      </c>
      <c r="BI99" s="59">
        <f ca="1">AVERAGE(OFFSET($BH$3,0,0,'Données projet'!$E$11+1,1))-AVERAGE(OFFSET($H$3,0,0,'Données projet'!$E$11+1,1))</f>
        <v>352.61091660077574</v>
      </c>
      <c r="BJ99" s="59">
        <f t="shared" si="92"/>
        <v>186.48649111821521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103.19610733264315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103.19610733264315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795.00000000000068</v>
      </c>
      <c r="O100" s="13">
        <f>N100*VLOOKUP('Données projet'!$B$9,Paramètres!$A$1:$I$89,3,0)*VLOOKUP('Données projet'!$B$9,Paramètres!$A$1:$I$89,5,0)</f>
        <v>372.06000000000029</v>
      </c>
      <c r="P100" s="13">
        <f t="shared" si="87"/>
        <v>86.088609967897526</v>
      </c>
      <c r="Q100" s="20">
        <f t="shared" si="107"/>
        <v>797.94216236075533</v>
      </c>
      <c r="R100" s="59">
        <f t="shared" si="55"/>
        <v>1091.2754956940887</v>
      </c>
      <c r="S100" s="59">
        <f ca="1">AVERAGE(OFFSET($R$3,0,0,'Données projet'!$E$9+1,1))-AVERAGE(OFFSET($H$3,0,0,'Données projet'!$E$9+1,1))</f>
        <v>379.12827535040157</v>
      </c>
      <c r="T100" s="59">
        <f t="shared" si="88"/>
        <v>317.29813413796956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91.819341753129791</v>
      </c>
      <c r="AA100" s="21">
        <f>EXP(-LN(2)/25)*AA99+(1-EXP(-LN(2)/25))/(LN(2)/25)*Calculateur!V100*Calculateur!X100*VLOOKUP('Données projet'!$B$9,Paramètres!$A$1:$I$89,3,0)*0.475*44/12</f>
        <v>6.9491333352508668</v>
      </c>
      <c r="AB100" s="21">
        <f>EXP(-LN(2)/2)*AB99+(1-EXP(-LN(2)/2))/(LN(2)/2)*V100*Y100*VLOOKUP('Données projet'!$B$9,Paramètres!$A$1:$I$89,3,0)*0.475*44/12</f>
        <v>3.5440505454134263E-11</v>
      </c>
      <c r="AC100" s="22">
        <f t="shared" si="57"/>
        <v>98.768475088416096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320.62679999999995</v>
      </c>
      <c r="AK100" s="13">
        <f t="shared" si="89"/>
        <v>75.483756735990909</v>
      </c>
      <c r="AL100" s="20">
        <f t="shared" si="58"/>
        <v>689.89255298185071</v>
      </c>
      <c r="AM100" s="59">
        <f t="shared" si="59"/>
        <v>983.22588631518397</v>
      </c>
      <c r="AN100" s="59">
        <f ca="1">AVERAGE(OFFSET($AM$3,0,0,'Données projet'!$E$10+1,1))-AVERAGE(OFFSET($H$3,0,0,'Données projet'!$E$10+1,1))</f>
        <v>392.48436003609055</v>
      </c>
      <c r="AO100" s="59">
        <f t="shared" si="90"/>
        <v>236.3312446580419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99.616731048513117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99.616731048513117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</v>
      </c>
      <c r="BD100" s="12">
        <f>IF('Données projet'!$A$88&gt;35,BD99+BC100-BL99,IF(A100&lt;'Données projet'!$A$88,$BA$205^A100,IF(A100='Données projet'!$A$88,'Données projet'!$B$88,BD99+BC100-BL99)))</f>
        <v>378.39999999999992</v>
      </c>
      <c r="BE100" s="13">
        <f>BD100*VLOOKUP('Données projet'!$B$11,Paramètres!$A$1:$I$89,3,0)*VLOOKUP('Données projet'!$B$11,Paramètres!$A$1:$I$89,5,0)</f>
        <v>324.66719999999998</v>
      </c>
      <c r="BF100" s="13">
        <f t="shared" si="91"/>
        <v>76.323635512638404</v>
      </c>
      <c r="BG100" s="20">
        <f t="shared" si="61"/>
        <v>698.39237185117838</v>
      </c>
      <c r="BH100" s="59">
        <f t="shared" si="62"/>
        <v>991.72570518451175</v>
      </c>
      <c r="BI100" s="59">
        <f ca="1">AVERAGE(OFFSET($BH$3,0,0,'Données projet'!$E$11+1,1))-AVERAGE(OFFSET($H$3,0,0,'Données projet'!$E$11+1,1))</f>
        <v>352.61091660077574</v>
      </c>
      <c r="BJ100" s="59">
        <f t="shared" si="92"/>
        <v>186.48649111821521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101.17249461126035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101.17249461126035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795.00000000000068</v>
      </c>
      <c r="O101" s="13">
        <f>N101*VLOOKUP('Données projet'!$B$9,Paramètres!$A$1:$I$89,3,0)*VLOOKUP('Données projet'!$B$9,Paramètres!$A$1:$I$89,5,0)</f>
        <v>372.06000000000029</v>
      </c>
      <c r="P101" s="13">
        <f t="shared" si="87"/>
        <v>86.088609967897526</v>
      </c>
      <c r="Q101" s="20">
        <f t="shared" si="107"/>
        <v>797.94216236075533</v>
      </c>
      <c r="R101" s="59">
        <f t="shared" si="55"/>
        <v>1091.2754956940887</v>
      </c>
      <c r="S101" s="59">
        <f ca="1">AVERAGE(OFFSET($R$3,0,0,'Données projet'!$E$9+1,1))-AVERAGE(OFFSET($H$3,0,0,'Données projet'!$E$9+1,1))</f>
        <v>379.12827535040157</v>
      </c>
      <c r="T101" s="59">
        <f t="shared" si="88"/>
        <v>317.29813413796956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90.018820465619427</v>
      </c>
      <c r="AA101" s="21">
        <f>EXP(-LN(2)/25)*AA100+(1-EXP(-LN(2)/25))/(LN(2)/25)*Calculateur!V101*Calculateur!X101*VLOOKUP('Données projet'!$B$9,Paramètres!$A$1:$I$89,3,0)*0.475*44/12</f>
        <v>6.7591089187593925</v>
      </c>
      <c r="AB101" s="21">
        <f>EXP(-LN(2)/2)*AB100+(1-EXP(-LN(2)/2))/(LN(2)/2)*V101*Y101*VLOOKUP('Données projet'!$B$9,Paramètres!$A$1:$I$89,3,0)*0.475*44/12</f>
        <v>2.5060221735297161E-11</v>
      </c>
      <c r="AC101" s="22">
        <f t="shared" si="57"/>
        <v>96.777929384403876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326.30520000000001</v>
      </c>
      <c r="AK101" s="13">
        <f t="shared" si="89"/>
        <v>76.663779608302349</v>
      </c>
      <c r="AL101" s="20">
        <f t="shared" si="58"/>
        <v>701.83763948445983</v>
      </c>
      <c r="AM101" s="59">
        <f t="shared" si="59"/>
        <v>995.1709728177932</v>
      </c>
      <c r="AN101" s="59">
        <f ca="1">AVERAGE(OFFSET($AM$3,0,0,'Données projet'!$E$10+1,1))-AVERAGE(OFFSET($H$3,0,0,'Données projet'!$E$10+1,1))</f>
        <v>392.48436003609055</v>
      </c>
      <c r="AO101" s="59">
        <f t="shared" si="90"/>
        <v>236.3312446580419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97.663307712858142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97.663307712858142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</v>
      </c>
      <c r="BD101" s="12">
        <f>IF('Données projet'!$A$88&gt;35,BD100+BC101-BL100,IF(A101&lt;'Données projet'!$A$88,$BA$205^A101,IF(A101='Données projet'!$A$88,'Données projet'!$B$88,BD100+BC101-BL100)))</f>
        <v>385.59999999999991</v>
      </c>
      <c r="BE101" s="13">
        <f>BD101*VLOOKUP('Données projet'!$B$11,Paramètres!$A$1:$I$89,3,0)*VLOOKUP('Données projet'!$B$11,Paramètres!$A$1:$I$89,5,0)</f>
        <v>330.84479999999996</v>
      </c>
      <c r="BF101" s="13">
        <f t="shared" si="91"/>
        <v>77.605429694617001</v>
      </c>
      <c r="BG101" s="20">
        <f t="shared" si="61"/>
        <v>711.38415005145782</v>
      </c>
      <c r="BH101" s="59">
        <f t="shared" si="62"/>
        <v>1004.7174833847912</v>
      </c>
      <c r="BI101" s="59">
        <f ca="1">AVERAGE(OFFSET($BH$3,0,0,'Données projet'!$E$11+1,1))-AVERAGE(OFFSET($H$3,0,0,'Données projet'!$E$11+1,1))</f>
        <v>352.61091660077574</v>
      </c>
      <c r="BJ101" s="59">
        <f t="shared" si="92"/>
        <v>186.48649111821521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99.18856370106198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99.18856370106198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795.00000000000068</v>
      </c>
      <c r="O102" s="13">
        <f>N102*VLOOKUP('Données projet'!$B$9,Paramètres!$A$1:$I$89,3,0)*VLOOKUP('Données projet'!$B$9,Paramètres!$A$1:$I$89,5,0)</f>
        <v>372.06000000000029</v>
      </c>
      <c r="P102" s="13">
        <f t="shared" si="87"/>
        <v>86.088609967897526</v>
      </c>
      <c r="Q102" s="20">
        <f t="shared" si="107"/>
        <v>797.94216236075533</v>
      </c>
      <c r="R102" s="59">
        <f t="shared" si="55"/>
        <v>1091.2754956940887</v>
      </c>
      <c r="S102" s="59">
        <f ca="1">AVERAGE(OFFSET($R$3,0,0,'Données projet'!$E$9+1,1))-AVERAGE(OFFSET($H$3,0,0,'Données projet'!$E$9+1,1))</f>
        <v>379.12827535040157</v>
      </c>
      <c r="T102" s="59">
        <f t="shared" si="88"/>
        <v>317.29813413796956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88.253606302347592</v>
      </c>
      <c r="AA102" s="21">
        <f>EXP(-LN(2)/25)*AA101+(1-EXP(-LN(2)/25))/(LN(2)/25)*Calculateur!V102*Calculateur!X102*VLOOKUP('Données projet'!$B$9,Paramètres!$A$1:$I$89,3,0)*0.475*44/12</f>
        <v>6.5742807299298267</v>
      </c>
      <c r="AB102" s="21">
        <f>EXP(-LN(2)/2)*AB101+(1-EXP(-LN(2)/2))/(LN(2)/2)*V102*Y102*VLOOKUP('Données projet'!$B$9,Paramètres!$A$1:$I$89,3,0)*0.475*44/12</f>
        <v>1.7720252727067132E-11</v>
      </c>
      <c r="AC102" s="22">
        <f t="shared" si="57"/>
        <v>94.827887032295138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331.98360000000002</v>
      </c>
      <c r="AK102" s="13">
        <f t="shared" si="89"/>
        <v>77.841414511052207</v>
      </c>
      <c r="AL102" s="20">
        <f t="shared" si="58"/>
        <v>713.77856694008267</v>
      </c>
      <c r="AM102" s="59">
        <f t="shared" si="59"/>
        <v>1007.111900273416</v>
      </c>
      <c r="AN102" s="59">
        <f ca="1">AVERAGE(OFFSET($AM$3,0,0,'Données projet'!$E$10+1,1))-AVERAGE(OFFSET($H$3,0,0,'Données projet'!$E$10+1,1))</f>
        <v>392.48436003609055</v>
      </c>
      <c r="AO102" s="59">
        <f t="shared" si="90"/>
        <v>236.3312446580419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95.74818981734478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95.74818981734478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</v>
      </c>
      <c r="BD102" s="12">
        <f>IF('Données projet'!$A$88&gt;35,BD101+BC102-BL101,IF(A102&lt;'Données projet'!$A$88,$BA$205^A102,IF(A102='Données projet'!$A$88,'Données projet'!$B$88,BD101+BC102-BL101)))</f>
        <v>392.7999999999999</v>
      </c>
      <c r="BE102" s="13">
        <f>BD102*VLOOKUP('Données projet'!$B$11,Paramètres!$A$1:$I$89,3,0)*VLOOKUP('Données projet'!$B$11,Paramètres!$A$1:$I$89,5,0)</f>
        <v>337.02239999999995</v>
      </c>
      <c r="BF102" s="13">
        <f t="shared" si="91"/>
        <v>78.884440823098231</v>
      </c>
      <c r="BG102" s="20">
        <f t="shared" si="61"/>
        <v>724.37108110022928</v>
      </c>
      <c r="BH102" s="59">
        <f t="shared" si="62"/>
        <v>1017.7044144335625</v>
      </c>
      <c r="BI102" s="59">
        <f ca="1">AVERAGE(OFFSET($BH$3,0,0,'Données projet'!$E$11+1,1))-AVERAGE(OFFSET($H$3,0,0,'Données projet'!$E$11+1,1))</f>
        <v>352.61091660077574</v>
      </c>
      <c r="BJ102" s="59">
        <f t="shared" si="92"/>
        <v>186.48649111821521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97.243536465934227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97.243536465934227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795.00000000000068</v>
      </c>
      <c r="O103" s="13">
        <f>N103*VLOOKUP('Données projet'!$B$9,Paramètres!$A$1:$I$89,3,0)*VLOOKUP('Données projet'!$B$9,Paramètres!$A$1:$I$89,5,0)</f>
        <v>372.06000000000029</v>
      </c>
      <c r="P103" s="13">
        <f t="shared" si="87"/>
        <v>86.088609967897526</v>
      </c>
      <c r="Q103" s="20">
        <f t="shared" si="107"/>
        <v>797.94216236075533</v>
      </c>
      <c r="R103" s="59">
        <f t="shared" si="55"/>
        <v>1091.2754956940887</v>
      </c>
      <c r="S103" s="59">
        <f ca="1">AVERAGE(OFFSET($R$3,0,0,'Données projet'!$E$9+1,1))-AVERAGE(OFFSET($H$3,0,0,'Données projet'!$E$9+1,1))</f>
        <v>379.12827535040157</v>
      </c>
      <c r="T103" s="59">
        <f t="shared" si="88"/>
        <v>317.29813413796956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86.523006912143188</v>
      </c>
      <c r="AA103" s="21">
        <f>EXP(-LN(2)/25)*AA102+(1-EXP(-LN(2)/25))/(LN(2)/25)*Calculateur!V103*Calculateur!X103*VLOOKUP('Données projet'!$B$9,Paramètres!$A$1:$I$89,3,0)*0.475*44/12</f>
        <v>6.3945066776434976</v>
      </c>
      <c r="AB103" s="21">
        <f>EXP(-LN(2)/2)*AB102+(1-EXP(-LN(2)/2))/(LN(2)/2)*V103*Y103*VLOOKUP('Données projet'!$B$9,Paramètres!$A$1:$I$89,3,0)*0.475*44/12</f>
        <v>1.253011086764858E-11</v>
      </c>
      <c r="AC103" s="22">
        <f t="shared" si="57"/>
        <v>92.917513589799213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9">
        <f t="shared" si="59"/>
        <v>1019.0487480295853</v>
      </c>
      <c r="AN103" s="59">
        <f ca="1">AVERAGE(OFFSET($AM$3,0,0,'Données projet'!$E$10+1,1))-AVERAGE(OFFSET($H$3,0,0,'Données projet'!$E$10+1,1))</f>
        <v>392.48436003609055</v>
      </c>
      <c r="AO103" s="59">
        <f t="shared" si="90"/>
        <v>236.3312446580419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106.88482047752269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106.88482047752269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400</v>
      </c>
      <c r="BB103" s="12">
        <f>VLOOKUP(A103,'Données projet'!$A$87:$I$107,9,0)</f>
        <v>7.2</v>
      </c>
      <c r="BC103" s="12">
        <f t="array" ref="BC103">INDEX(BB:BB,MIN(IF(ISNUMBER(BB103:BB299),ROW(BB103:BB299),"")))</f>
        <v>7.2</v>
      </c>
      <c r="BD103" s="12">
        <f>IF('Données projet'!$A$88&gt;35,BD102+BC103-BL102,IF(A103&lt;'Données projet'!$A$88,$BA$205^A103,IF(A103='Données projet'!$A$88,'Données projet'!$B$88,BD102+BC103-BL102)))</f>
        <v>399.99999999999989</v>
      </c>
      <c r="BE103" s="13">
        <f>BD103*VLOOKUP('Données projet'!$B$11,Paramètres!$A$1:$I$89,3,0)*VLOOKUP('Données projet'!$B$11,Paramètres!$A$1:$I$89,5,0)</f>
        <v>343.19999999999993</v>
      </c>
      <c r="BF103" s="13">
        <f t="shared" si="91"/>
        <v>80.160725794932105</v>
      </c>
      <c r="BG103" s="20">
        <f t="shared" si="61"/>
        <v>737.35326409283982</v>
      </c>
      <c r="BH103" s="59">
        <f t="shared" si="62"/>
        <v>1030.6865974261732</v>
      </c>
      <c r="BI103" s="59">
        <f ca="1">AVERAGE(OFFSET($BH$3,0,0,'Données projet'!$E$11+1,1))-AVERAGE(OFFSET($H$3,0,0,'Données projet'!$E$11+1,1))</f>
        <v>352.61091660077574</v>
      </c>
      <c r="BJ103" s="59">
        <f t="shared" si="92"/>
        <v>186.48649111821521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24</v>
      </c>
      <c r="BM103" s="16">
        <f>IF(ISNA(VLOOKUP(A103,'Données projet'!$A$87:$I$107,5,0)),0%,VLOOKUP(A103,'Données projet'!$A$87:$I$107,5,0)*VLOOKUP('Données projet'!$B$11,Paramètres!$A$1:$I$89,7,0))</f>
        <v>0.53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107.40148843786939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107.40148843786939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795.00000000000068</v>
      </c>
      <c r="O104" s="13">
        <f>N104*VLOOKUP('Données projet'!$B$9,Paramètres!$A$1:$I$89,3,0)*VLOOKUP('Données projet'!$B$9,Paramètres!$A$1:$I$89,5,0)</f>
        <v>372.06000000000029</v>
      </c>
      <c r="P104" s="13">
        <f t="shared" si="87"/>
        <v>86.088609967897526</v>
      </c>
      <c r="Q104" s="20">
        <f t="shared" si="107"/>
        <v>797.94216236075533</v>
      </c>
      <c r="R104" s="59">
        <f t="shared" si="55"/>
        <v>1091.2754956940887</v>
      </c>
      <c r="S104" s="59">
        <f ca="1">AVERAGE(OFFSET($R$3,0,0,'Données projet'!$E$9+1,1))-AVERAGE(OFFSET($H$3,0,0,'Données projet'!$E$9+1,1))</f>
        <v>379.12827535040157</v>
      </c>
      <c r="T104" s="59">
        <f t="shared" si="88"/>
        <v>317.29813413796956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84.8263435204193</v>
      </c>
      <c r="AA104" s="21">
        <f>EXP(-LN(2)/25)*AA103+(1-EXP(-LN(2)/25))/(LN(2)/25)*Calculateur!V104*Calculateur!X104*VLOOKUP('Données projet'!$B$9,Paramètres!$A$1:$I$89,3,0)*0.475*44/12</f>
        <v>6.2196485562708448</v>
      </c>
      <c r="AB104" s="21">
        <f>EXP(-LN(2)/2)*AB103+(1-EXP(-LN(2)/2))/(LN(2)/2)*V104*Y104*VLOOKUP('Données projet'!$B$9,Paramètres!$A$1:$I$89,3,0)*0.475*44/12</f>
        <v>8.8601263635335659E-12</v>
      </c>
      <c r="AC104" s="22">
        <f t="shared" si="57"/>
        <v>91.045992076698994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9">
        <f t="shared" si="59"/>
        <v>972.98386815977756</v>
      </c>
      <c r="AN104" s="59">
        <f ca="1">AVERAGE(OFFSET($AM$3,0,0,'Données projet'!$E$10+1,1))-AVERAGE(OFFSET($H$3,0,0,'Données projet'!$E$10+1,1))</f>
        <v>392.48436003609055</v>
      </c>
      <c r="AO104" s="59">
        <f t="shared" si="90"/>
        <v>236.3312446580419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104.78887434126166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104.78887434126166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6.6</v>
      </c>
      <c r="BD104" s="12">
        <f>IF('Données projet'!$A$88&gt;35,BD103+BC104-BL103,IF(A104&lt;'Données projet'!$A$88,$BA$205^A104,IF(A104='Données projet'!$A$88,'Données projet'!$B$88,BD103+BC104-BL103)))</f>
        <v>382.59999999999991</v>
      </c>
      <c r="BE104" s="13">
        <f>BD104*VLOOKUP('Données projet'!$B$11,Paramètres!$A$1:$I$89,3,0)*VLOOKUP('Données projet'!$B$11,Paramètres!$A$1:$I$89,5,0)</f>
        <v>328.27079999999995</v>
      </c>
      <c r="BF104" s="13">
        <f t="shared" si="91"/>
        <v>77.071690347038668</v>
      </c>
      <c r="BG104" s="20">
        <f t="shared" si="61"/>
        <v>705.97150402109219</v>
      </c>
      <c r="BH104" s="59">
        <f t="shared" si="62"/>
        <v>999.30483735442544</v>
      </c>
      <c r="BI104" s="59">
        <f ca="1">AVERAGE(OFFSET($BH$3,0,0,'Données projet'!$E$11+1,1))-AVERAGE(OFFSET($H$3,0,0,'Données projet'!$E$11+1,1))</f>
        <v>352.61091660077574</v>
      </c>
      <c r="BJ104" s="59">
        <f t="shared" si="92"/>
        <v>186.48649111821521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105.29541075804229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105.29541075804229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795.00000000000068</v>
      </c>
      <c r="O105" s="13">
        <f>N105*VLOOKUP('Données projet'!$B$9,Paramètres!$A$1:$I$89,3,0)*VLOOKUP('Données projet'!$B$9,Paramètres!$A$1:$I$89,5,0)</f>
        <v>372.06000000000029</v>
      </c>
      <c r="P105" s="13">
        <f t="shared" si="87"/>
        <v>86.088609967897526</v>
      </c>
      <c r="Q105" s="20">
        <f t="shared" si="107"/>
        <v>797.94216236075533</v>
      </c>
      <c r="R105" s="59">
        <f t="shared" si="55"/>
        <v>1091.2754956940887</v>
      </c>
      <c r="S105" s="59">
        <f ca="1">AVERAGE(OFFSET($R$3,0,0,'Données projet'!$E$9+1,1))-AVERAGE(OFFSET($H$3,0,0,'Données projet'!$E$9+1,1))</f>
        <v>379.12827535040157</v>
      </c>
      <c r="T105" s="59">
        <f t="shared" si="88"/>
        <v>317.29813413796956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83.162950662944624</v>
      </c>
      <c r="AA105" s="21">
        <f>EXP(-LN(2)/25)*AA104+(1-EXP(-LN(2)/25))/(LN(2)/25)*Calculateur!V105*Calculateur!X105*VLOOKUP('Données projet'!$B$9,Paramètres!$A$1:$I$89,3,0)*0.475*44/12</f>
        <v>6.049571939422516</v>
      </c>
      <c r="AB105" s="21">
        <f>EXP(-LN(2)/2)*AB104+(1-EXP(-LN(2)/2))/(LN(2)/2)*V105*Y105*VLOOKUP('Données projet'!$B$9,Paramètres!$A$1:$I$89,3,0)*0.475*44/12</f>
        <v>6.2650554338242902E-12</v>
      </c>
      <c r="AC105" s="22">
        <f t="shared" si="57"/>
        <v>89.212522602373411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9">
        <f t="shared" si="59"/>
        <v>984.50591840476886</v>
      </c>
      <c r="AN105" s="59">
        <f ca="1">AVERAGE(OFFSET($AM$3,0,0,'Données projet'!$E$10+1,1))-AVERAGE(OFFSET($H$3,0,0,'Données projet'!$E$10+1,1))</f>
        <v>392.48436003609055</v>
      </c>
      <c r="AO105" s="59">
        <f t="shared" si="90"/>
        <v>236.3312446580419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102.73402843033179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102.73402843033179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6.6</v>
      </c>
      <c r="BD105" s="12">
        <f>IF('Données projet'!$A$88&gt;35,BD104+BC105-BL104,IF(A105&lt;'Données projet'!$A$88,$BA$205^A105,IF(A105='Données projet'!$A$88,'Données projet'!$B$88,BD104+BC105-BL104)))</f>
        <v>389.19999999999993</v>
      </c>
      <c r="BE105" s="13">
        <f>BD105*VLOOKUP('Données projet'!$B$11,Paramètres!$A$1:$I$89,3,0)*VLOOKUP('Données projet'!$B$11,Paramètres!$A$1:$I$89,5,0)</f>
        <v>333.93359999999996</v>
      </c>
      <c r="BF105" s="13">
        <f t="shared" si="91"/>
        <v>78.245279532276854</v>
      </c>
      <c r="BG105" s="20">
        <f t="shared" si="61"/>
        <v>717.87821518538203</v>
      </c>
      <c r="BH105" s="59">
        <f t="shared" si="62"/>
        <v>1011.2115485187153</v>
      </c>
      <c r="BI105" s="59">
        <f ca="1">AVERAGE(OFFSET($BH$3,0,0,'Données projet'!$E$11+1,1))-AVERAGE(OFFSET($H$3,0,0,'Données projet'!$E$11+1,1))</f>
        <v>352.61091660077574</v>
      </c>
      <c r="BJ105" s="59">
        <f t="shared" si="92"/>
        <v>186.48649111821521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103.23063197693607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103.23063197693607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795.00000000000068</v>
      </c>
      <c r="O106" s="13">
        <f>N106*VLOOKUP('Données projet'!$B$9,Paramètres!$A$1:$I$89,3,0)*VLOOKUP('Données projet'!$B$9,Paramètres!$A$1:$I$89,5,0)</f>
        <v>372.06000000000029</v>
      </c>
      <c r="P106" s="13">
        <f t="shared" si="87"/>
        <v>86.088609967897526</v>
      </c>
      <c r="Q106" s="20">
        <f t="shared" si="107"/>
        <v>797.94216236075533</v>
      </c>
      <c r="R106" s="59">
        <f t="shared" si="55"/>
        <v>1091.2754956940887</v>
      </c>
      <c r="S106" s="59">
        <f ca="1">AVERAGE(OFFSET($R$3,0,0,'Données projet'!$E$9+1,1))-AVERAGE(OFFSET($H$3,0,0,'Données projet'!$E$9+1,1))</f>
        <v>379.12827535040157</v>
      </c>
      <c r="T106" s="59">
        <f t="shared" si="88"/>
        <v>317.29813413796956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81.53217592483557</v>
      </c>
      <c r="AA106" s="21">
        <f>EXP(-LN(2)/25)*AA105+(1-EXP(-LN(2)/25))/(LN(2)/25)*Calculateur!V106*Calculateur!X106*VLOOKUP('Données projet'!$B$9,Paramètres!$A$1:$I$89,3,0)*0.475*44/12</f>
        <v>5.8841460766058455</v>
      </c>
      <c r="AB106" s="21">
        <f>EXP(-LN(2)/2)*AB105+(1-EXP(-LN(2)/2))/(LN(2)/2)*V106*Y106*VLOOKUP('Données projet'!$B$9,Paramètres!$A$1:$I$89,3,0)*0.475*44/12</f>
        <v>4.4300631817667829E-12</v>
      </c>
      <c r="AC106" s="22">
        <f t="shared" si="57"/>
        <v>87.416322001445849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9">
        <f t="shared" si="59"/>
        <v>996.02403317864309</v>
      </c>
      <c r="AN106" s="59">
        <f ca="1">AVERAGE(OFFSET($AM$3,0,0,'Données projet'!$E$10+1,1))-AVERAGE(OFFSET($H$3,0,0,'Données projet'!$E$10+1,1))</f>
        <v>392.48436003609055</v>
      </c>
      <c r="AO106" s="59">
        <f t="shared" si="90"/>
        <v>236.3312446580419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100.71947679438301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100.71947679438301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6.6</v>
      </c>
      <c r="BD106" s="12">
        <f>IF('Données projet'!$A$88&gt;35,BD105+BC106-BL105,IF(A106&lt;'Données projet'!$A$88,$BA$205^A106,IF(A106='Données projet'!$A$88,'Données projet'!$B$88,BD105+BC106-BL105)))</f>
        <v>395.79999999999995</v>
      </c>
      <c r="BE106" s="13">
        <f>BD106*VLOOKUP('Données projet'!$B$11,Paramètres!$A$1:$I$89,3,0)*VLOOKUP('Données projet'!$B$11,Paramètres!$A$1:$I$89,5,0)</f>
        <v>339.59640000000002</v>
      </c>
      <c r="BF106" s="13">
        <f t="shared" si="91"/>
        <v>79.416554343021332</v>
      </c>
      <c r="BG106" s="20">
        <f t="shared" si="61"/>
        <v>729.7808954807623</v>
      </c>
      <c r="BH106" s="59">
        <f t="shared" si="62"/>
        <v>1023.1142288140957</v>
      </c>
      <c r="BI106" s="59">
        <f ca="1">AVERAGE(OFFSET($BH$3,0,0,'Données projet'!$E$11+1,1))-AVERAGE(OFFSET($H$3,0,0,'Données projet'!$E$11+1,1))</f>
        <v>352.61091660077574</v>
      </c>
      <c r="BJ106" s="59">
        <f t="shared" si="92"/>
        <v>186.48649111821521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101.20634224833663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101.20634224833663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795.00000000000068</v>
      </c>
      <c r="O107" s="13">
        <f>N107*VLOOKUP('Données projet'!$B$9,Paramètres!$A$1:$I$89,3,0)*VLOOKUP('Données projet'!$B$9,Paramètres!$A$1:$I$89,5,0)</f>
        <v>372.06000000000029</v>
      </c>
      <c r="P107" s="13">
        <f t="shared" si="87"/>
        <v>86.088609967897526</v>
      </c>
      <c r="Q107" s="20">
        <f t="shared" si="107"/>
        <v>797.94216236075533</v>
      </c>
      <c r="R107" s="59">
        <f t="shared" si="55"/>
        <v>1091.2754956940887</v>
      </c>
      <c r="S107" s="59">
        <f ca="1">AVERAGE(OFFSET($R$3,0,0,'Données projet'!$E$9+1,1))-AVERAGE(OFFSET($H$3,0,0,'Données projet'!$E$9+1,1))</f>
        <v>379.12827535040157</v>
      </c>
      <c r="T107" s="59">
        <f t="shared" si="88"/>
        <v>317.29813413796956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79.933379684666463</v>
      </c>
      <c r="AA107" s="21">
        <f>EXP(-LN(2)/25)*AA106+(1-EXP(-LN(2)/25))/(LN(2)/25)*Calculateur!V107*Calculateur!X107*VLOOKUP('Données projet'!$B$9,Paramètres!$A$1:$I$89,3,0)*0.475*44/12</f>
        <v>5.7232437927072652</v>
      </c>
      <c r="AB107" s="21">
        <f>EXP(-LN(2)/2)*AB106+(1-EXP(-LN(2)/2))/(LN(2)/2)*V107*Y107*VLOOKUP('Données projet'!$B$9,Paramètres!$A$1:$I$89,3,0)*0.475*44/12</f>
        <v>3.1325277169121451E-12</v>
      </c>
      <c r="AC107" s="22">
        <f t="shared" si="57"/>
        <v>85.656623477376854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9">
        <f t="shared" si="59"/>
        <v>1007.5382860516456</v>
      </c>
      <c r="AN107" s="59">
        <f ca="1">AVERAGE(OFFSET($AM$3,0,0,'Données projet'!$E$10+1,1))-AVERAGE(OFFSET($H$3,0,0,'Données projet'!$E$10+1,1))</f>
        <v>392.48436003609055</v>
      </c>
      <c r="AO107" s="59">
        <f t="shared" si="90"/>
        <v>236.3312446580419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98.744429287260019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98.744429287260019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6.6</v>
      </c>
      <c r="BD107" s="12">
        <f>IF('Données projet'!$A$88&gt;35,BD106+BC107-BL106,IF(A107&lt;'Données projet'!$A$88,$BA$205^A107,IF(A107='Données projet'!$A$88,'Données projet'!$B$88,BD106+BC107-BL106)))</f>
        <v>402.4</v>
      </c>
      <c r="BE107" s="13">
        <f>BD107*VLOOKUP('Données projet'!$B$11,Paramètres!$A$1:$I$89,3,0)*VLOOKUP('Données projet'!$B$11,Paramètres!$A$1:$I$89,5,0)</f>
        <v>345.25920000000002</v>
      </c>
      <c r="BF107" s="13">
        <f t="shared" si="91"/>
        <v>80.585557826060622</v>
      </c>
      <c r="BG107" s="20">
        <f t="shared" si="61"/>
        <v>741.67961988038894</v>
      </c>
      <c r="BH107" s="59">
        <f t="shared" si="62"/>
        <v>1035.0129532137223</v>
      </c>
      <c r="BI107" s="59">
        <f ca="1">AVERAGE(OFFSET($BH$3,0,0,'Données projet'!$E$11+1,1))-AVERAGE(OFFSET($H$3,0,0,'Données projet'!$E$11+1,1))</f>
        <v>352.61091660077574</v>
      </c>
      <c r="BJ107" s="59">
        <f t="shared" si="92"/>
        <v>186.48649111821521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99.221747606620212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99.221747606620212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795.00000000000068</v>
      </c>
      <c r="O108" s="13">
        <f>N108*VLOOKUP('Données projet'!$B$9,Paramètres!$A$1:$I$89,3,0)*VLOOKUP('Données projet'!$B$9,Paramètres!$A$1:$I$89,5,0)</f>
        <v>372.06000000000029</v>
      </c>
      <c r="P108" s="13">
        <f t="shared" si="87"/>
        <v>86.088609967897526</v>
      </c>
      <c r="Q108" s="20">
        <f t="shared" si="107"/>
        <v>797.94216236075533</v>
      </c>
      <c r="R108" s="59">
        <f t="shared" si="55"/>
        <v>1091.2754956940887</v>
      </c>
      <c r="S108" s="59">
        <f ca="1">AVERAGE(OFFSET($R$3,0,0,'Données projet'!$E$9+1,1))-AVERAGE(OFFSET($H$3,0,0,'Données projet'!$E$9+1,1))</f>
        <v>379.12827535040157</v>
      </c>
      <c r="T108" s="59">
        <f t="shared" si="88"/>
        <v>317.29813413796956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78.365934863597644</v>
      </c>
      <c r="AA108" s="21">
        <f>EXP(-LN(2)/25)*AA107+(1-EXP(-LN(2)/25))/(LN(2)/25)*Calculateur!V108*Calculateur!X108*VLOOKUP('Données projet'!$B$9,Paramètres!$A$1:$I$89,3,0)*0.475*44/12</f>
        <v>5.5667413902233749</v>
      </c>
      <c r="AB108" s="21">
        <f>EXP(-LN(2)/2)*AB107+(1-EXP(-LN(2)/2))/(LN(2)/2)*V108*Y108*VLOOKUP('Données projet'!$B$9,Paramètres!$A$1:$I$89,3,0)*0.475*44/12</f>
        <v>2.2150315908833915E-12</v>
      </c>
      <c r="AC108" s="22">
        <f t="shared" si="57"/>
        <v>83.932676253823232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9">
        <f t="shared" si="59"/>
        <v>1019.0487480295851</v>
      </c>
      <c r="AN108" s="59">
        <f ca="1">AVERAGE(OFFSET($AM$3,0,0,'Données projet'!$E$10+1,1))-AVERAGE(OFFSET($H$3,0,0,'Données projet'!$E$10+1,1))</f>
        <v>392.48436003609055</v>
      </c>
      <c r="AO108" s="59">
        <f t="shared" si="90"/>
        <v>236.3312446580419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109.34029832407457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109.34029832407457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409</v>
      </c>
      <c r="BB108" s="12">
        <f>VLOOKUP(A108,'Données projet'!$A$87:$I$107,9,0)</f>
        <v>6.6</v>
      </c>
      <c r="BC108" s="12">
        <f t="array" ref="BC108">INDEX(BB:BB,MIN(IF(ISNUMBER(BB108:BB304),ROW(BB108:BB304),"")))</f>
        <v>6.6</v>
      </c>
      <c r="BD108" s="12">
        <f>IF('Données projet'!$A$88&gt;35,BD107+BC108-BL107,IF(A108&lt;'Données projet'!$A$88,$BA$205^A108,IF(A108='Données projet'!$A$88,'Données projet'!$B$88,BD107+BC108-BL107)))</f>
        <v>409</v>
      </c>
      <c r="BE108" s="13">
        <f>BD108*VLOOKUP('Données projet'!$B$11,Paramètres!$A$1:$I$89,3,0)*VLOOKUP('Données projet'!$B$11,Paramètres!$A$1:$I$89,5,0)</f>
        <v>350.92200000000003</v>
      </c>
      <c r="BF108" s="13">
        <f t="shared" si="91"/>
        <v>81.752331535154511</v>
      </c>
      <c r="BG108" s="20">
        <f t="shared" si="61"/>
        <v>753.57446075706082</v>
      </c>
      <c r="BH108" s="59">
        <f t="shared" si="62"/>
        <v>1046.9077940903942</v>
      </c>
      <c r="BI108" s="59">
        <f ca="1">AVERAGE(OFFSET($BH$3,0,0,'Données projet'!$E$11+1,1))-AVERAGE(OFFSET($H$3,0,0,'Données projet'!$E$11+1,1))</f>
        <v>352.61091660077574</v>
      </c>
      <c r="BJ108" s="59">
        <f t="shared" si="92"/>
        <v>186.48649111821521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23</v>
      </c>
      <c r="BM108" s="16">
        <f>IF(ISNA(VLOOKUP(A108,'Données projet'!$A$87:$I$107,5,0)),0%,VLOOKUP(A108,'Données projet'!$A$87:$I$107,5,0)*VLOOKUP('Données projet'!$B$11,Paramètres!$A$1:$I$89,7,0))</f>
        <v>0.53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108.83820646428737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108.83820646428737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795.00000000000068</v>
      </c>
      <c r="O109" s="13">
        <f>N109*VLOOKUP('Données projet'!$B$9,Paramètres!$A$1:$I$89,3,0)*VLOOKUP('Données projet'!$B$9,Paramètres!$A$1:$I$89,5,0)</f>
        <v>372.06000000000029</v>
      </c>
      <c r="P109" s="13">
        <f t="shared" si="87"/>
        <v>86.088609967897526</v>
      </c>
      <c r="Q109" s="20">
        <f t="shared" si="107"/>
        <v>797.94216236075533</v>
      </c>
      <c r="R109" s="59">
        <f t="shared" si="55"/>
        <v>1091.2754956940887</v>
      </c>
      <c r="S109" s="59">
        <f ca="1">AVERAGE(OFFSET($R$3,0,0,'Données projet'!$E$9+1,1))-AVERAGE(OFFSET($H$3,0,0,'Données projet'!$E$9+1,1))</f>
        <v>379.12827535040157</v>
      </c>
      <c r="T109" s="59">
        <f t="shared" si="88"/>
        <v>317.29813413796956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76.829226679423044</v>
      </c>
      <c r="AA109" s="21">
        <f>EXP(-LN(2)/25)*AA108+(1-EXP(-LN(2)/25))/(LN(2)/25)*Calculateur!V109*Calculateur!X109*VLOOKUP('Données projet'!$B$9,Paramètres!$A$1:$I$89,3,0)*0.475*44/12</f>
        <v>5.4145185541655101</v>
      </c>
      <c r="AB109" s="21">
        <f>EXP(-LN(2)/2)*AB108+(1-EXP(-LN(2)/2))/(LN(2)/2)*V109*Y109*VLOOKUP('Données projet'!$B$9,Paramètres!$A$1:$I$89,3,0)*0.475*44/12</f>
        <v>1.5662638584560726E-12</v>
      </c>
      <c r="AC109" s="22">
        <f t="shared" si="57"/>
        <v>82.243745233590118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9">
        <f t="shared" si="59"/>
        <v>974.26429265651404</v>
      </c>
      <c r="AN109" s="59">
        <f ca="1">AVERAGE(OFFSET($AM$3,0,0,'Données projet'!$E$10+1,1))-AVERAGE(OFFSET($H$3,0,0,'Données projet'!$E$10+1,1))</f>
        <v>392.48436003609055</v>
      </c>
      <c r="AO109" s="59">
        <f t="shared" si="90"/>
        <v>236.3312446580419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107.19620176493625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107.19620176493625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6.4</v>
      </c>
      <c r="BD109" s="12">
        <f>IF('Données projet'!$A$88&gt;35,BD108+BC109-BL108,IF(A109&lt;'Données projet'!$A$88,$BA$205^A109,IF(A109='Données projet'!$A$88,'Données projet'!$B$88,BD108+BC109-BL108)))</f>
        <v>392.4</v>
      </c>
      <c r="BE109" s="13">
        <f>BD109*VLOOKUP('Données projet'!$B$11,Paramètres!$A$1:$I$89,3,0)*VLOOKUP('Données projet'!$B$11,Paramètres!$A$1:$I$89,5,0)</f>
        <v>336.67919999999998</v>
      </c>
      <c r="BF109" s="13">
        <f t="shared" si="91"/>
        <v>78.813456684086404</v>
      </c>
      <c r="BG109" s="20">
        <f t="shared" si="61"/>
        <v>723.64971039145041</v>
      </c>
      <c r="BH109" s="59">
        <f t="shared" si="62"/>
        <v>1016.9830437247838</v>
      </c>
      <c r="BI109" s="59">
        <f ca="1">AVERAGE(OFFSET($BH$3,0,0,'Données projet'!$E$11+1,1))-AVERAGE(OFFSET($H$3,0,0,'Données projet'!$E$11+1,1))</f>
        <v>352.61091660077574</v>
      </c>
      <c r="BJ109" s="59">
        <f t="shared" si="92"/>
        <v>186.48649111821521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106.70395562027369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106.70395562027369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795.00000000000068</v>
      </c>
      <c r="O110" s="13">
        <f>N110*VLOOKUP('Données projet'!$B$9,Paramètres!$A$1:$I$89,3,0)*VLOOKUP('Données projet'!$B$9,Paramètres!$A$1:$I$89,5,0)</f>
        <v>372.06000000000029</v>
      </c>
      <c r="P110" s="13">
        <f t="shared" si="87"/>
        <v>86.088609967897526</v>
      </c>
      <c r="Q110" s="20">
        <f t="shared" si="107"/>
        <v>797.94216236075533</v>
      </c>
      <c r="R110" s="59">
        <f t="shared" si="55"/>
        <v>1091.2754956940887</v>
      </c>
      <c r="S110" s="59">
        <f ca="1">AVERAGE(OFFSET($R$3,0,0,'Données projet'!$E$9+1,1))-AVERAGE(OFFSET($H$3,0,0,'Données projet'!$E$9+1,1))</f>
        <v>379.12827535040157</v>
      </c>
      <c r="T110" s="59">
        <f t="shared" si="88"/>
        <v>317.29813413796956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75.322652405440678</v>
      </c>
      <c r="AA110" s="21">
        <f>EXP(-LN(2)/25)*AA109+(1-EXP(-LN(2)/25))/(LN(2)/25)*Calculateur!V110*Calculateur!X110*VLOOKUP('Données projet'!$B$9,Paramètres!$A$1:$I$89,3,0)*0.475*44/12</f>
        <v>5.2664582595646987</v>
      </c>
      <c r="AB110" s="21">
        <f>EXP(-LN(2)/2)*AB109+(1-EXP(-LN(2)/2))/(LN(2)/2)*V110*Y110*VLOOKUP('Données projet'!$B$9,Paramètres!$A$1:$I$89,3,0)*0.475*44/12</f>
        <v>1.1075157954416957E-12</v>
      </c>
      <c r="AC110" s="22">
        <f t="shared" si="57"/>
        <v>80.589110665006487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9">
        <f t="shared" si="59"/>
        <v>984.93258496659951</v>
      </c>
      <c r="AN110" s="59">
        <f ca="1">AVERAGE(OFFSET($AM$3,0,0,'Données projet'!$E$10+1,1))-AVERAGE(OFFSET($H$3,0,0,'Données projet'!$E$10+1,1))</f>
        <v>392.48436003609055</v>
      </c>
      <c r="AO110" s="59">
        <f t="shared" si="90"/>
        <v>236.3312446580419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105.09414963155287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105.09414963155287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6.4</v>
      </c>
      <c r="BD110" s="12">
        <f>IF('Données projet'!$A$88&gt;35,BD109+BC110-BL109,IF(A110&lt;'Données projet'!$A$88,$BA$205^A110,IF(A110='Données projet'!$A$88,'Données projet'!$B$88,BD109+BC110-BL109)))</f>
        <v>398.79999999999995</v>
      </c>
      <c r="BE110" s="13">
        <f>BD110*VLOOKUP('Données projet'!$B$11,Paramètres!$A$1:$I$89,3,0)*VLOOKUP('Données projet'!$B$11,Paramètres!$A$1:$I$89,5,0)</f>
        <v>342.17040000000003</v>
      </c>
      <c r="BF110" s="13">
        <f t="shared" si="91"/>
        <v>79.948198600746707</v>
      </c>
      <c r="BG110" s="20">
        <f t="shared" si="61"/>
        <v>735.1898925629672</v>
      </c>
      <c r="BH110" s="59">
        <f t="shared" si="62"/>
        <v>1028.5232258963006</v>
      </c>
      <c r="BI110" s="59">
        <f ca="1">AVERAGE(OFFSET($BH$3,0,0,'Données projet'!$E$11+1,1))-AVERAGE(OFFSET($H$3,0,0,'Données projet'!$E$11+1,1))</f>
        <v>352.61091660077574</v>
      </c>
      <c r="BJ110" s="59">
        <f t="shared" si="92"/>
        <v>186.48649111821521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104.61155613354664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104.61155613354664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795.00000000000068</v>
      </c>
      <c r="O111" s="13">
        <f>N111*VLOOKUP('Données projet'!$B$9,Paramètres!$A$1:$I$89,3,0)*VLOOKUP('Données projet'!$B$9,Paramètres!$A$1:$I$89,5,0)</f>
        <v>372.06000000000029</v>
      </c>
      <c r="P111" s="13">
        <f t="shared" si="87"/>
        <v>86.088609967897526</v>
      </c>
      <c r="Q111" s="20">
        <f t="shared" si="107"/>
        <v>797.94216236075533</v>
      </c>
      <c r="R111" s="59">
        <f t="shared" si="55"/>
        <v>1091.2754956940887</v>
      </c>
      <c r="S111" s="59">
        <f ca="1">AVERAGE(OFFSET($R$3,0,0,'Données projet'!$E$9+1,1))-AVERAGE(OFFSET($H$3,0,0,'Données projet'!$E$9+1,1))</f>
        <v>379.12827535040157</v>
      </c>
      <c r="T111" s="59">
        <f t="shared" si="88"/>
        <v>317.29813413796956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73.845621134051527</v>
      </c>
      <c r="AA111" s="21">
        <f>EXP(-LN(2)/25)*AA110+(1-EXP(-LN(2)/25))/(LN(2)/25)*Calculateur!V111*Calculateur!X111*VLOOKUP('Données projet'!$B$9,Paramètres!$A$1:$I$89,3,0)*0.475*44/12</f>
        <v>5.1224466815058989</v>
      </c>
      <c r="AB111" s="21">
        <f>EXP(-LN(2)/2)*AB110+(1-EXP(-LN(2)/2))/(LN(2)/2)*V111*Y111*VLOOKUP('Données projet'!$B$9,Paramètres!$A$1:$I$89,3,0)*0.475*44/12</f>
        <v>7.8313192922803628E-13</v>
      </c>
      <c r="AC111" s="22">
        <f t="shared" si="57"/>
        <v>78.9680678155582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9">
        <f t="shared" si="59"/>
        <v>995.59750564867431</v>
      </c>
      <c r="AN111" s="59">
        <f ca="1">AVERAGE(OFFSET($AM$3,0,0,'Données projet'!$E$10+1,1))-AVERAGE(OFFSET($H$3,0,0,'Données projet'!$E$10+1,1))</f>
        <v>392.48436003609055</v>
      </c>
      <c r="AO111" s="59">
        <f t="shared" si="90"/>
        <v>236.3312446580419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103.03331745837993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103.03331745837993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6.4</v>
      </c>
      <c r="BD111" s="12">
        <f>IF('Données projet'!$A$88&gt;35,BD110+BC111-BL110,IF(A111&lt;'Données projet'!$A$88,$BA$205^A111,IF(A111='Données projet'!$A$88,'Données projet'!$B$88,BD110+BC111-BL110)))</f>
        <v>405.19999999999993</v>
      </c>
      <c r="BE111" s="13">
        <f>BD111*VLOOKUP('Données projet'!$B$11,Paramètres!$A$1:$I$89,3,0)*VLOOKUP('Données projet'!$B$11,Paramètres!$A$1:$I$89,5,0)</f>
        <v>347.66159999999996</v>
      </c>
      <c r="BF111" s="13">
        <f t="shared" si="91"/>
        <v>81.080822697416465</v>
      </c>
      <c r="BG111" s="20">
        <f t="shared" si="61"/>
        <v>746.72638619800034</v>
      </c>
      <c r="BH111" s="59">
        <f t="shared" si="62"/>
        <v>1040.0597195313337</v>
      </c>
      <c r="BI111" s="59">
        <f ca="1">AVERAGE(OFFSET($BH$3,0,0,'Données projet'!$E$11+1,1))-AVERAGE(OFFSET($H$3,0,0,'Données projet'!$E$11+1,1))</f>
        <v>352.61091660077574</v>
      </c>
      <c r="BJ111" s="59">
        <f t="shared" si="92"/>
        <v>186.48649111821521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102.56018732451665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102.56018732451665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795.00000000000068</v>
      </c>
      <c r="O112" s="13">
        <f>N112*VLOOKUP('Données projet'!$B$9,Paramètres!$A$1:$I$89,3,0)*VLOOKUP('Données projet'!$B$9,Paramètres!$A$1:$I$89,5,0)</f>
        <v>372.06000000000029</v>
      </c>
      <c r="P112" s="13">
        <f t="shared" si="87"/>
        <v>86.088609967897526</v>
      </c>
      <c r="Q112" s="20">
        <f t="shared" si="107"/>
        <v>797.94216236075533</v>
      </c>
      <c r="R112" s="59">
        <f t="shared" si="55"/>
        <v>1091.2754956940887</v>
      </c>
      <c r="S112" s="59">
        <f ca="1">AVERAGE(OFFSET($R$3,0,0,'Données projet'!$E$9+1,1))-AVERAGE(OFFSET($H$3,0,0,'Données projet'!$E$9+1,1))</f>
        <v>379.12827535040157</v>
      </c>
      <c r="T112" s="59">
        <f t="shared" si="88"/>
        <v>317.29813413796956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72.397553544994196</v>
      </c>
      <c r="AA112" s="21">
        <f>EXP(-LN(2)/25)*AA111+(1-EXP(-LN(2)/25))/(LN(2)/25)*Calculateur!V112*Calculateur!X112*VLOOKUP('Données projet'!$B$9,Paramètres!$A$1:$I$89,3,0)*0.475*44/12</f>
        <v>4.9823731076223563</v>
      </c>
      <c r="AB112" s="21">
        <f>EXP(-LN(2)/2)*AB111+(1-EXP(-LN(2)/2))/(LN(2)/2)*V112*Y112*VLOOKUP('Données projet'!$B$9,Paramètres!$A$1:$I$89,3,0)*0.475*44/12</f>
        <v>5.5375789772084787E-13</v>
      </c>
      <c r="AC112" s="22">
        <f t="shared" si="57"/>
        <v>77.379926652617101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9">
        <f t="shared" si="59"/>
        <v>1006.2591131032082</v>
      </c>
      <c r="AN112" s="59">
        <f ca="1">AVERAGE(OFFSET($AM$3,0,0,'Données projet'!$E$10+1,1))-AVERAGE(OFFSET($H$3,0,0,'Données projet'!$E$10+1,1))</f>
        <v>392.48436003609055</v>
      </c>
      <c r="AO112" s="59">
        <f t="shared" si="90"/>
        <v>236.3312446580419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101.01289694713941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101.01289694713941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6.4</v>
      </c>
      <c r="BD112" s="12">
        <f>IF('Données projet'!$A$88&gt;35,BD111+BC112-BL111,IF(A112&lt;'Données projet'!$A$88,$BA$205^A112,IF(A112='Données projet'!$A$88,'Données projet'!$B$88,BD111+BC112-BL111)))</f>
        <v>411.59999999999991</v>
      </c>
      <c r="BE112" s="13">
        <f>BD112*VLOOKUP('Données projet'!$B$11,Paramètres!$A$1:$I$89,3,0)*VLOOKUP('Données projet'!$B$11,Paramètres!$A$1:$I$89,5,0)</f>
        <v>353.15279999999996</v>
      </c>
      <c r="BF112" s="13">
        <f t="shared" si="91"/>
        <v>82.211366286790636</v>
      </c>
      <c r="BG112" s="20">
        <f t="shared" si="61"/>
        <v>758.25925628282687</v>
      </c>
      <c r="BH112" s="59">
        <f t="shared" si="62"/>
        <v>1051.5925896161602</v>
      </c>
      <c r="BI112" s="59">
        <f ca="1">AVERAGE(OFFSET($BH$3,0,0,'Données projet'!$E$11+1,1))-AVERAGE(OFFSET($H$3,0,0,'Données projet'!$E$11+1,1))</f>
        <v>352.61091660077574</v>
      </c>
      <c r="BJ112" s="59">
        <f t="shared" si="92"/>
        <v>186.48649111821521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100.5490446066203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100.5490446066203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795.00000000000068</v>
      </c>
      <c r="O113" s="13">
        <f>N113*VLOOKUP('Données projet'!$B$9,Paramètres!$A$1:$I$89,3,0)*VLOOKUP('Données projet'!$B$9,Paramètres!$A$1:$I$89,5,0)</f>
        <v>372.06000000000029</v>
      </c>
      <c r="P113" s="13">
        <f t="shared" si="87"/>
        <v>86.088609967897526</v>
      </c>
      <c r="Q113" s="20">
        <f t="shared" si="107"/>
        <v>797.94216236075533</v>
      </c>
      <c r="R113" s="59">
        <f t="shared" si="55"/>
        <v>1091.2754956940887</v>
      </c>
      <c r="S113" s="59">
        <f ca="1">AVERAGE(OFFSET($R$3,0,0,'Données projet'!$E$9+1,1))-AVERAGE(OFFSET($H$3,0,0,'Données projet'!$E$9+1,1))</f>
        <v>379.12827535040157</v>
      </c>
      <c r="T113" s="59">
        <f t="shared" si="88"/>
        <v>317.29813413796956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70.977881678124263</v>
      </c>
      <c r="AA113" s="21">
        <f>EXP(-LN(2)/25)*AA112+(1-EXP(-LN(2)/25))/(LN(2)/25)*Calculateur!V113*Calculateur!X113*VLOOKUP('Données projet'!$B$9,Paramètres!$A$1:$I$89,3,0)*0.475*44/12</f>
        <v>4.8461298529828083</v>
      </c>
      <c r="AB113" s="21">
        <f>EXP(-LN(2)/2)*AB112+(1-EXP(-LN(2)/2))/(LN(2)/2)*V113*Y113*VLOOKUP('Données projet'!$B$9,Paramètres!$A$1:$I$89,3,0)*0.475*44/12</f>
        <v>3.9156596461401814E-13</v>
      </c>
      <c r="AC113" s="22">
        <f t="shared" si="57"/>
        <v>75.824011531107473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9">
        <f t="shared" si="59"/>
        <v>1016.9174638422428</v>
      </c>
      <c r="AN113" s="59">
        <f ca="1">AVERAGE(OFFSET($AM$3,0,0,'Données projet'!$E$10+1,1))-AVERAGE(OFFSET($H$3,0,0,'Données projet'!$E$10+1,1))</f>
        <v>392.48436003609055</v>
      </c>
      <c r="AO113" s="59">
        <f t="shared" si="90"/>
        <v>236.3312446580419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111.08227552188841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111.08227552188841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418</v>
      </c>
      <c r="BB113" s="12">
        <f>VLOOKUP(A113,'Données projet'!$A$87:$I$107,9,0)</f>
        <v>6.4</v>
      </c>
      <c r="BC113" s="12">
        <f t="array" ref="BC113">INDEX(BB:BB,MIN(IF(ISNUMBER(BB113:BB309),ROW(BB113:BB309),"")))</f>
        <v>6.4</v>
      </c>
      <c r="BD113" s="12">
        <f>IF('Données projet'!$A$88&gt;35,BD112+BC113-BL112,IF(A113&lt;'Données projet'!$A$88,$BA$205^A113,IF(A113='Données projet'!$A$88,'Données projet'!$B$88,BD112+BC113-BL112)))</f>
        <v>417.99999999999989</v>
      </c>
      <c r="BE113" s="13">
        <f>BD113*VLOOKUP('Données projet'!$B$11,Paramètres!$A$1:$I$89,3,0)*VLOOKUP('Données projet'!$B$11,Paramètres!$A$1:$I$89,5,0)</f>
        <v>358.64399999999995</v>
      </c>
      <c r="BF113" s="13">
        <f t="shared" si="91"/>
        <v>83.339865454638698</v>
      </c>
      <c r="BG113" s="20">
        <f t="shared" si="61"/>
        <v>769.78856566682896</v>
      </c>
      <c r="BH113" s="59">
        <f t="shared" si="62"/>
        <v>1063.1218990001623</v>
      </c>
      <c r="BI113" s="59">
        <f ca="1">AVERAGE(OFFSET($BH$3,0,0,'Données projet'!$E$11+1,1))-AVERAGE(OFFSET($H$3,0,0,'Données projet'!$E$11+1,1))</f>
        <v>352.61091660077574</v>
      </c>
      <c r="BJ113" s="59">
        <f t="shared" si="92"/>
        <v>186.48649111821521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22</v>
      </c>
      <c r="BM113" s="16">
        <f>IF(ISNA(VLOOKUP(A113,'Données projet'!$A$87:$I$107,5,0)),0%,VLOOKUP(A113,'Données projet'!$A$87:$I$107,5,0)*VLOOKUP('Données projet'!$B$11,Paramètres!$A$1:$I$89,7,0))</f>
        <v>0.53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109.63677437929987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109.63677437929987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795.00000000000068</v>
      </c>
      <c r="O114" s="13">
        <f>N114*VLOOKUP('Données projet'!$B$9,Paramètres!$A$1:$I$89,3,0)*VLOOKUP('Données projet'!$B$9,Paramètres!$A$1:$I$89,5,0)</f>
        <v>372.06000000000029</v>
      </c>
      <c r="P114" s="13">
        <f t="shared" si="87"/>
        <v>86.088609967897526</v>
      </c>
      <c r="Q114" s="20">
        <f t="shared" si="107"/>
        <v>797.94216236075533</v>
      </c>
      <c r="R114" s="59">
        <f t="shared" si="55"/>
        <v>1091.2754956940887</v>
      </c>
      <c r="S114" s="59">
        <f ca="1">AVERAGE(OFFSET($R$3,0,0,'Données projet'!$E$9+1,1))-AVERAGE(OFFSET($H$3,0,0,'Données projet'!$E$9+1,1))</f>
        <v>379.12827535040157</v>
      </c>
      <c r="T114" s="59">
        <f t="shared" si="88"/>
        <v>317.29813413796956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69.586048710649322</v>
      </c>
      <c r="AA114" s="21">
        <f>EXP(-LN(2)/25)*AA113+(1-EXP(-LN(2)/25))/(LN(2)/25)*Calculateur!V114*Calculateur!X114*VLOOKUP('Données projet'!$B$9,Paramètres!$A$1:$I$89,3,0)*0.475*44/12</f>
        <v>4.7136121773061008</v>
      </c>
      <c r="AB114" s="21">
        <f>EXP(-LN(2)/2)*AB113+(1-EXP(-LN(2)/2))/(LN(2)/2)*V114*Y114*VLOOKUP('Données projet'!$B$9,Paramètres!$A$1:$I$89,3,0)*0.475*44/12</f>
        <v>2.7687894886042393E-13</v>
      </c>
      <c r="AC114" s="22">
        <f t="shared" si="57"/>
        <v>74.299660887955696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316.16519999999991</v>
      </c>
      <c r="AK114" s="13">
        <f t="shared" si="89"/>
        <v>74.554889944758472</v>
      </c>
      <c r="AL114" s="20">
        <f t="shared" si="58"/>
        <v>680.50415665378762</v>
      </c>
      <c r="AM114" s="59">
        <f t="shared" si="59"/>
        <v>973.83748998712099</v>
      </c>
      <c r="AN114" s="59">
        <f ca="1">AVERAGE(OFFSET($AM$3,0,0,'Données projet'!$E$10+1,1))-AVERAGE(OFFSET($H$3,0,0,'Données projet'!$E$10+1,1))</f>
        <v>392.48436003609055</v>
      </c>
      <c r="AO114" s="59">
        <f t="shared" si="90"/>
        <v>236.3312446580419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108.90401985240214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108.90401985240214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</v>
      </c>
      <c r="BD114" s="12">
        <f>IF('Données projet'!$A$88&gt;35,BD113+BC114-BL113,IF(A114&lt;'Données projet'!$A$88,$BA$205^A114,IF(A114='Données projet'!$A$88,'Données projet'!$B$88,BD113+BC114-BL113)))</f>
        <v>401.99999999999989</v>
      </c>
      <c r="BE114" s="13">
        <f>BD114*VLOOKUP('Données projet'!$B$11,Paramètres!$A$1:$I$89,3,0)*VLOOKUP('Données projet'!$B$11,Paramètres!$A$1:$I$89,5,0)</f>
        <v>344.91599999999994</v>
      </c>
      <c r="BF114" s="13">
        <f t="shared" si="91"/>
        <v>80.51477301506921</v>
      </c>
      <c r="BG114" s="20">
        <f t="shared" si="61"/>
        <v>740.9585963345786</v>
      </c>
      <c r="BH114" s="59">
        <f t="shared" si="62"/>
        <v>1034.291929667912</v>
      </c>
      <c r="BI114" s="59">
        <f ca="1">AVERAGE(OFFSET($BH$3,0,0,'Données projet'!$E$11+1,1))-AVERAGE(OFFSET($H$3,0,0,'Données projet'!$E$11+1,1))</f>
        <v>352.61091660077574</v>
      </c>
      <c r="BJ114" s="59">
        <f t="shared" si="92"/>
        <v>186.48649111821521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107.48686410555112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107.48686410555112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795.00000000000068</v>
      </c>
      <c r="O115" s="13">
        <f>N115*VLOOKUP('Données projet'!$B$9,Paramètres!$A$1:$I$89,3,0)*VLOOKUP('Données projet'!$B$9,Paramètres!$A$1:$I$89,5,0)</f>
        <v>372.06000000000029</v>
      </c>
      <c r="P115" s="13">
        <f t="shared" si="87"/>
        <v>86.088609967897526</v>
      </c>
      <c r="Q115" s="20">
        <f t="shared" si="107"/>
        <v>797.94216236075533</v>
      </c>
      <c r="R115" s="59">
        <f t="shared" si="55"/>
        <v>1091.2754956940887</v>
      </c>
      <c r="S115" s="59">
        <f ca="1">AVERAGE(OFFSET($R$3,0,0,'Données projet'!$E$9+1,1))-AVERAGE(OFFSET($H$3,0,0,'Données projet'!$E$9+1,1))</f>
        <v>379.12827535040157</v>
      </c>
      <c r="T115" s="59">
        <f t="shared" si="88"/>
        <v>317.29813413796956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68.221508738732268</v>
      </c>
      <c r="AA115" s="21">
        <f>EXP(-LN(2)/25)*AA114+(1-EXP(-LN(2)/25))/(LN(2)/25)*Calculateur!V115*Calculateur!X115*VLOOKUP('Données projet'!$B$9,Paramètres!$A$1:$I$89,3,0)*0.475*44/12</f>
        <v>4.5847182044395742</v>
      </c>
      <c r="AB115" s="21">
        <f>EXP(-LN(2)/2)*AB114+(1-EXP(-LN(2)/2))/(LN(2)/2)*V115*Y115*VLOOKUP('Données projet'!$B$9,Paramètres!$A$1:$I$89,3,0)*0.475*44/12</f>
        <v>1.9578298230700907E-13</v>
      </c>
      <c r="AC115" s="22">
        <f t="shared" si="57"/>
        <v>72.806226943172035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9">
        <f t="shared" si="59"/>
        <v>984.07924644479476</v>
      </c>
      <c r="AN115" s="59">
        <f ca="1">AVERAGE(OFFSET($AM$3,0,0,'Données projet'!$E$10+1,1))-AVERAGE(OFFSET($H$3,0,0,'Données projet'!$E$10+1,1))</f>
        <v>392.48436003609055</v>
      </c>
      <c r="AO115" s="59">
        <f t="shared" si="90"/>
        <v>236.3312446580419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106.76847844798974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106.76847844798974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</v>
      </c>
      <c r="BD115" s="12">
        <f>IF('Données projet'!$A$88&gt;35,BD114+BC115-BL114,IF(A115&lt;'Données projet'!$A$88,$BA$205^A115,IF(A115='Données projet'!$A$88,'Données projet'!$B$88,BD114+BC115-BL114)))</f>
        <v>407.99999999999989</v>
      </c>
      <c r="BE115" s="13">
        <f>BD115*VLOOKUP('Données projet'!$B$11,Paramètres!$A$1:$I$89,3,0)*VLOOKUP('Données projet'!$B$11,Paramètres!$A$1:$I$89,5,0)</f>
        <v>350.06399999999991</v>
      </c>
      <c r="BF115" s="13">
        <f t="shared" si="91"/>
        <v>81.575689362490522</v>
      </c>
      <c r="BG115" s="20">
        <f t="shared" si="61"/>
        <v>751.77245897300418</v>
      </c>
      <c r="BH115" s="59">
        <f t="shared" si="62"/>
        <v>1045.1057923063374</v>
      </c>
      <c r="BI115" s="59">
        <f ca="1">AVERAGE(OFFSET($BH$3,0,0,'Données projet'!$E$11+1,1))-AVERAGE(OFFSET($H$3,0,0,'Données projet'!$E$11+1,1))</f>
        <v>352.61091660077574</v>
      </c>
      <c r="BJ115" s="59">
        <f t="shared" si="92"/>
        <v>186.48649111821521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105.3791122609548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105.3791122609548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795.00000000000068</v>
      </c>
      <c r="O116" s="13">
        <f>N116*VLOOKUP('Données projet'!$B$9,Paramètres!$A$1:$I$89,3,0)*VLOOKUP('Données projet'!$B$9,Paramètres!$A$1:$I$89,5,0)</f>
        <v>372.06000000000029</v>
      </c>
      <c r="P116" s="13">
        <f t="shared" si="87"/>
        <v>86.088609967897526</v>
      </c>
      <c r="Q116" s="20">
        <f t="shared" si="107"/>
        <v>797.94216236075533</v>
      </c>
      <c r="R116" s="59">
        <f t="shared" si="55"/>
        <v>1091.2754956940887</v>
      </c>
      <c r="S116" s="59">
        <f ca="1">AVERAGE(OFFSET($R$3,0,0,'Données projet'!$E$9+1,1))-AVERAGE(OFFSET($H$3,0,0,'Données projet'!$E$9+1,1))</f>
        <v>379.12827535040157</v>
      </c>
      <c r="T116" s="59">
        <f t="shared" si="88"/>
        <v>317.29813413796956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66.883726563377309</v>
      </c>
      <c r="AA116" s="21">
        <f>EXP(-LN(2)/25)*AA115+(1-EXP(-LN(2)/25))/(LN(2)/25)*Calculateur!V116*Calculateur!X116*VLOOKUP('Données projet'!$B$9,Paramètres!$A$1:$I$89,3,0)*0.475*44/12</f>
        <v>4.4593488440393223</v>
      </c>
      <c r="AB116" s="21">
        <f>EXP(-LN(2)/2)*AB115+(1-EXP(-LN(2)/2))/(LN(2)/2)*V116*Y116*VLOOKUP('Données projet'!$B$9,Paramètres!$A$1:$I$89,3,0)*0.475*44/12</f>
        <v>1.3843947443021197E-13</v>
      </c>
      <c r="AC116" s="22">
        <f t="shared" si="57"/>
        <v>71.343075407416777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325.89959999999996</v>
      </c>
      <c r="AK116" s="13">
        <f t="shared" si="89"/>
        <v>76.579572003009503</v>
      </c>
      <c r="AL116" s="20">
        <f t="shared" si="58"/>
        <v>700.98455790524133</v>
      </c>
      <c r="AM116" s="59">
        <f t="shared" si="59"/>
        <v>994.3178912385747</v>
      </c>
      <c r="AN116" s="59">
        <f ca="1">AVERAGE(OFFSET($AM$3,0,0,'Données projet'!$E$10+1,1))-AVERAGE(OFFSET($H$3,0,0,'Données projet'!$E$10+1,1))</f>
        <v>392.48436003609055</v>
      </c>
      <c r="AO116" s="59">
        <f t="shared" si="90"/>
        <v>236.3312446580419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104.67481370796621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104.67481370796621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</v>
      </c>
      <c r="BD116" s="12">
        <f>IF('Données projet'!$A$88&gt;35,BD115+BC116-BL115,IF(A116&lt;'Données projet'!$A$88,$BA$205^A116,IF(A116='Données projet'!$A$88,'Données projet'!$B$88,BD115+BC116-BL115)))</f>
        <v>413.99999999999989</v>
      </c>
      <c r="BE116" s="13">
        <f>BD116*VLOOKUP('Données projet'!$B$11,Paramètres!$A$1:$I$89,3,0)*VLOOKUP('Données projet'!$B$11,Paramètres!$A$1:$I$89,5,0)</f>
        <v>355.21199999999993</v>
      </c>
      <c r="BF116" s="13">
        <f t="shared" si="91"/>
        <v>82.634791155027401</v>
      </c>
      <c r="BG116" s="20">
        <f t="shared" si="61"/>
        <v>762.58316126167256</v>
      </c>
      <c r="BH116" s="59">
        <f t="shared" si="62"/>
        <v>1055.9164945950058</v>
      </c>
      <c r="BI116" s="59">
        <f ca="1">AVERAGE(OFFSET($BH$3,0,0,'Données projet'!$E$11+1,1))-AVERAGE(OFFSET($H$3,0,0,'Données projet'!$E$11+1,1))</f>
        <v>352.61091660077574</v>
      </c>
      <c r="BJ116" s="59">
        <f t="shared" si="92"/>
        <v>186.48649111821521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103.31269214442933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103.31269214442933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795.00000000000068</v>
      </c>
      <c r="O117" s="13">
        <f>N117*VLOOKUP('Données projet'!$B$9,Paramètres!$A$1:$I$89,3,0)*VLOOKUP('Données projet'!$B$9,Paramètres!$A$1:$I$89,5,0)</f>
        <v>372.06000000000029</v>
      </c>
      <c r="P117" s="13">
        <f t="shared" si="87"/>
        <v>86.088609967897526</v>
      </c>
      <c r="Q117" s="20">
        <f t="shared" si="107"/>
        <v>797.94216236075533</v>
      </c>
      <c r="R117" s="59">
        <f t="shared" si="55"/>
        <v>1091.2754956940887</v>
      </c>
      <c r="S117" s="59">
        <f ca="1">AVERAGE(OFFSET($R$3,0,0,'Données projet'!$E$9+1,1))-AVERAGE(OFFSET($H$3,0,0,'Données projet'!$E$9+1,1))</f>
        <v>379.12827535040157</v>
      </c>
      <c r="T117" s="59">
        <f t="shared" si="88"/>
        <v>317.29813413796956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65.572177480514512</v>
      </c>
      <c r="AA117" s="21">
        <f>EXP(-LN(2)/25)*AA116+(1-EXP(-LN(2)/25))/(LN(2)/25)*Calculateur!V117*Calculateur!X117*VLOOKUP('Données projet'!$B$9,Paramètres!$A$1:$I$89,3,0)*0.475*44/12</f>
        <v>4.3374077153921036</v>
      </c>
      <c r="AB117" s="21">
        <f>EXP(-LN(2)/2)*AB116+(1-EXP(-LN(2)/2))/(LN(2)/2)*V117*Y117*VLOOKUP('Données projet'!$B$9,Paramètres!$A$1:$I$89,3,0)*0.475*44/12</f>
        <v>9.7891491153504535E-14</v>
      </c>
      <c r="AC117" s="22">
        <f t="shared" si="57"/>
        <v>69.909585195906715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330.76679999999999</v>
      </c>
      <c r="AK117" s="13">
        <f t="shared" si="89"/>
        <v>77.589262894669872</v>
      </c>
      <c r="AL117" s="20">
        <f t="shared" si="58"/>
        <v>711.22014287488344</v>
      </c>
      <c r="AM117" s="59">
        <f t="shared" si="59"/>
        <v>1004.5534762082168</v>
      </c>
      <c r="AN117" s="59">
        <f ca="1">AVERAGE(OFFSET($AM$3,0,0,'Données projet'!$E$10+1,1))-AVERAGE(OFFSET($H$3,0,0,'Données projet'!$E$10+1,1))</f>
        <v>392.48436003609055</v>
      </c>
      <c r="AO117" s="59">
        <f t="shared" si="90"/>
        <v>236.3312446580419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102.62220445648515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102.62220445648515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</v>
      </c>
      <c r="BD117" s="12">
        <f>IF('Données projet'!$A$88&gt;35,BD116+BC117-BL116,IF(A117&lt;'Données projet'!$A$88,$BA$205^A117,IF(A117='Données projet'!$A$88,'Données projet'!$B$88,BD116+BC117-BL116)))</f>
        <v>419.99999999999989</v>
      </c>
      <c r="BE117" s="13">
        <f>BD117*VLOOKUP('Données projet'!$B$11,Paramètres!$A$1:$I$89,3,0)*VLOOKUP('Données projet'!$B$11,Paramètres!$A$1:$I$89,5,0)</f>
        <v>360.3599999999999</v>
      </c>
      <c r="BF117" s="13">
        <f t="shared" si="91"/>
        <v>83.692107728969532</v>
      </c>
      <c r="BG117" s="20">
        <f t="shared" si="61"/>
        <v>773.39075429462173</v>
      </c>
      <c r="BH117" s="59">
        <f t="shared" si="62"/>
        <v>1066.724087627955</v>
      </c>
      <c r="BI117" s="59">
        <f ca="1">AVERAGE(OFFSET($BH$3,0,0,'Données projet'!$E$11+1,1))-AVERAGE(OFFSET($H$3,0,0,'Données projet'!$E$11+1,1))</f>
        <v>352.61091660077574</v>
      </c>
      <c r="BJ117" s="59">
        <f t="shared" si="92"/>
        <v>186.48649111821521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101.28679326599712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101.28679326599712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795.00000000000068</v>
      </c>
      <c r="O118" s="13">
        <f>N118*VLOOKUP('Données projet'!$B$9,Paramètres!$A$1:$I$89,3,0)*VLOOKUP('Données projet'!$B$9,Paramètres!$A$1:$I$89,5,0)</f>
        <v>372.06000000000029</v>
      </c>
      <c r="P118" s="13">
        <f t="shared" si="87"/>
        <v>86.088609967897526</v>
      </c>
      <c r="Q118" s="20">
        <f t="shared" si="107"/>
        <v>797.94216236075533</v>
      </c>
      <c r="R118" s="59">
        <f t="shared" si="55"/>
        <v>1091.2754956940887</v>
      </c>
      <c r="S118" s="59">
        <f ca="1">AVERAGE(OFFSET($R$3,0,0,'Données projet'!$E$9+1,1))-AVERAGE(OFFSET($H$3,0,0,'Données projet'!$E$9+1,1))</f>
        <v>379.12827535040157</v>
      </c>
      <c r="T118" s="59">
        <f t="shared" si="88"/>
        <v>317.29813413796956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64.286347075200695</v>
      </c>
      <c r="AA118" s="21">
        <f>EXP(-LN(2)/25)*AA117+(1-EXP(-LN(2)/25))/(LN(2)/25)*Calculateur!V118*Calculateur!X118*VLOOKUP('Données projet'!$B$9,Paramètres!$A$1:$I$89,3,0)*0.475*44/12</f>
        <v>4.218801073320348</v>
      </c>
      <c r="AB118" s="21">
        <f>EXP(-LN(2)/2)*AB117+(1-EXP(-LN(2)/2))/(LN(2)/2)*V118*Y118*VLOOKUP('Données projet'!$B$9,Paramètres!$A$1:$I$89,3,0)*0.475*44/12</f>
        <v>6.9219737215105983E-14</v>
      </c>
      <c r="AC118" s="22">
        <f t="shared" si="57"/>
        <v>68.505148148521116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335.63399999999996</v>
      </c>
      <c r="AK118" s="13">
        <f t="shared" si="89"/>
        <v>78.597225787708638</v>
      </c>
      <c r="AL118" s="20">
        <f t="shared" si="58"/>
        <v>721.45271824692588</v>
      </c>
      <c r="AM118" s="59">
        <f t="shared" si="59"/>
        <v>1014.7860515802593</v>
      </c>
      <c r="AN118" s="59">
        <f ca="1">AVERAGE(OFFSET($AM$3,0,0,'Données projet'!$E$10+1,1))-AVERAGE(OFFSET($H$3,0,0,'Données projet'!$E$10+1,1))</f>
        <v>392.48436003609055</v>
      </c>
      <c r="AO118" s="59">
        <f t="shared" si="90"/>
        <v>236.3312446580419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112.17801829767259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112.17801829767259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426</v>
      </c>
      <c r="BB118" s="12">
        <f>VLOOKUP(A118,'Données projet'!$A$87:$I$107,9,0)</f>
        <v>6</v>
      </c>
      <c r="BC118" s="12">
        <f t="array" ref="BC118">INDEX(BB:BB,MIN(IF(ISNUMBER(BB118:BB314),ROW(BB118:BB314),"")))</f>
        <v>6</v>
      </c>
      <c r="BD118" s="12">
        <f>IF('Données projet'!$A$88&gt;35,BD117+BC118-BL117,IF(A118&lt;'Données projet'!$A$88,$BA$205^A118,IF(A118='Données projet'!$A$88,'Données projet'!$B$88,BD117+BC118-BL117)))</f>
        <v>425.99999999999989</v>
      </c>
      <c r="BE118" s="13">
        <f>BD118*VLOOKUP('Données projet'!$B$11,Paramètres!$A$1:$I$89,3,0)*VLOOKUP('Données projet'!$B$11,Paramètres!$A$1:$I$89,5,0)</f>
        <v>365.50799999999992</v>
      </c>
      <c r="BF118" s="13">
        <f t="shared" si="91"/>
        <v>84.747667534292106</v>
      </c>
      <c r="BG118" s="20">
        <f t="shared" si="61"/>
        <v>784.19528762222524</v>
      </c>
      <c r="BH118" s="59">
        <f t="shared" si="62"/>
        <v>1077.5286209555586</v>
      </c>
      <c r="BI118" s="59">
        <f ca="1">AVERAGE(OFFSET($BH$3,0,0,'Données projet'!$E$11+1,1))-AVERAGE(OFFSET($H$3,0,0,'Données projet'!$E$11+1,1))</f>
        <v>352.61091660077574</v>
      </c>
      <c r="BJ118" s="59">
        <f t="shared" si="92"/>
        <v>186.48649111821521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21</v>
      </c>
      <c r="BM118" s="16">
        <f>IF(ISNA(VLOOKUP(A118,'Données projet'!$A$87:$I$107,5,0)),0%,VLOOKUP(A118,'Données projet'!$A$87:$I$107,5,0)*VLOOKUP('Données projet'!$B$11,Paramètres!$A$1:$I$89,7,0))</f>
        <v>0.53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109.85735463705974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109.85735463705974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795.00000000000068</v>
      </c>
      <c r="O119" s="13">
        <f>N119*VLOOKUP('Données projet'!$B$9,Paramètres!$A$1:$I$89,3,0)*VLOOKUP('Données projet'!$B$9,Paramètres!$A$1:$I$89,5,0)</f>
        <v>372.06000000000029</v>
      </c>
      <c r="P119" s="13">
        <f t="shared" si="87"/>
        <v>86.088609967897526</v>
      </c>
      <c r="Q119" s="20">
        <f t="shared" si="107"/>
        <v>797.94216236075533</v>
      </c>
      <c r="R119" s="59">
        <f t="shared" si="55"/>
        <v>1091.2754956940887</v>
      </c>
      <c r="S119" s="59">
        <f ca="1">AVERAGE(OFFSET($R$3,0,0,'Données projet'!$E$9+1,1))-AVERAGE(OFFSET($H$3,0,0,'Données projet'!$E$9+1,1))</f>
        <v>379.12827535040157</v>
      </c>
      <c r="T119" s="59">
        <f t="shared" si="88"/>
        <v>317.29813413796956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63.025731019855982</v>
      </c>
      <c r="AA119" s="21">
        <f>EXP(-LN(2)/25)*AA118+(1-EXP(-LN(2)/25))/(LN(2)/25)*Calculateur!V119*Calculateur!X119*VLOOKUP('Données projet'!$B$9,Paramètres!$A$1:$I$89,3,0)*0.475*44/12</f>
        <v>4.103437736113297</v>
      </c>
      <c r="AB119" s="21">
        <f>EXP(-LN(2)/2)*AB118+(1-EXP(-LN(2)/2))/(LN(2)/2)*V119*Y119*VLOOKUP('Données projet'!$B$9,Paramètres!$A$1:$I$89,3,0)*0.475*44/12</f>
        <v>4.8945745576752267E-14</v>
      </c>
      <c r="AC119" s="22">
        <f t="shared" si="57"/>
        <v>67.129168755969317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311.298</v>
      </c>
      <c r="AK119" s="13">
        <f t="shared" si="89"/>
        <v>73.539838278528748</v>
      </c>
      <c r="AL119" s="20">
        <f t="shared" si="58"/>
        <v>670.25923500177089</v>
      </c>
      <c r="AM119" s="59">
        <f t="shared" si="59"/>
        <v>963.59256833510426</v>
      </c>
      <c r="AN119" s="59">
        <f ca="1">AVERAGE(OFFSET($AM$3,0,0,'Données projet'!$E$10+1,1))-AVERAGE(OFFSET($H$3,0,0,'Données projet'!$E$10+1,1))</f>
        <v>392.48436003609055</v>
      </c>
      <c r="AO119" s="59">
        <f t="shared" si="90"/>
        <v>236.3312446580419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109.9782757806903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109.9782757806903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404.99999999999989</v>
      </c>
      <c r="BE119" s="13">
        <f>BD119*VLOOKUP('Données projet'!$B$11,Paramètres!$A$1:$I$89,3,0)*VLOOKUP('Données projet'!$B$11,Paramètres!$A$1:$I$89,5,0)</f>
        <v>347.4899999999999</v>
      </c>
      <c r="BF119" s="13">
        <f t="shared" si="91"/>
        <v>81.045459877391451</v>
      </c>
      <c r="BG119" s="20">
        <f t="shared" si="61"/>
        <v>746.36592595312322</v>
      </c>
      <c r="BH119" s="59">
        <f t="shared" si="62"/>
        <v>1039.6992592864565</v>
      </c>
      <c r="BI119" s="59">
        <f ca="1">AVERAGE(OFFSET($BH$3,0,0,'Données projet'!$E$11+1,1))-AVERAGE(OFFSET($H$3,0,0,'Données projet'!$E$11+1,1))</f>
        <v>352.61091660077574</v>
      </c>
      <c r="BJ119" s="59">
        <f t="shared" si="92"/>
        <v>186.48649111821521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107.70311891899701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107.70311891899701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795.00000000000068</v>
      </c>
      <c r="O120" s="13">
        <f>N120*VLOOKUP('Données projet'!$B$9,Paramètres!$A$1:$I$89,3,0)*VLOOKUP('Données projet'!$B$9,Paramètres!$A$1:$I$89,5,0)</f>
        <v>372.06000000000029</v>
      </c>
      <c r="P120" s="13">
        <f t="shared" si="87"/>
        <v>86.088609967897526</v>
      </c>
      <c r="Q120" s="20">
        <f t="shared" si="107"/>
        <v>797.94216236075533</v>
      </c>
      <c r="R120" s="59">
        <f t="shared" si="55"/>
        <v>1091.2754956940887</v>
      </c>
      <c r="S120" s="59">
        <f ca="1">AVERAGE(OFFSET($R$3,0,0,'Données projet'!$E$9+1,1))-AVERAGE(OFFSET($H$3,0,0,'Données projet'!$E$9+1,1))</f>
        <v>379.12827535040157</v>
      </c>
      <c r="T120" s="59">
        <f t="shared" si="88"/>
        <v>317.29813413796956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61.789834876456709</v>
      </c>
      <c r="AA120" s="21">
        <f>EXP(-LN(2)/25)*AA119+(1-EXP(-LN(2)/25))/(LN(2)/25)*Calculateur!V120*Calculateur!X120*VLOOKUP('Données projet'!$B$9,Paramètres!$A$1:$I$89,3,0)*0.475*44/12</f>
        <v>3.9912290154288668</v>
      </c>
      <c r="AB120" s="21">
        <f>EXP(-LN(2)/2)*AB119+(1-EXP(-LN(2)/2))/(LN(2)/2)*V120*Y120*VLOOKUP('Données projet'!$B$9,Paramètres!$A$1:$I$89,3,0)*0.475*44/12</f>
        <v>3.4609868607552992E-14</v>
      </c>
      <c r="AC120" s="22">
        <f t="shared" si="57"/>
        <v>65.781063891885609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311.298</v>
      </c>
      <c r="AK120" s="13">
        <f t="shared" si="89"/>
        <v>73.539838278528748</v>
      </c>
      <c r="AL120" s="20">
        <f t="shared" si="58"/>
        <v>670.25923500177089</v>
      </c>
      <c r="AM120" s="59">
        <f t="shared" si="59"/>
        <v>963.59256833510426</v>
      </c>
      <c r="AN120" s="59">
        <f ca="1">AVERAGE(OFFSET($AM$3,0,0,'Données projet'!$E$10+1,1))-AVERAGE(OFFSET($H$3,0,0,'Données projet'!$E$10+1,1))</f>
        <v>392.48436003609055</v>
      </c>
      <c r="AO120" s="59">
        <f t="shared" si="90"/>
        <v>236.3312446580419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107.82166887275558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107.82166887275558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404.99999999999989</v>
      </c>
      <c r="BE120" s="13">
        <f>BD120*VLOOKUP('Données projet'!$B$11,Paramètres!$A$1:$I$89,3,0)*VLOOKUP('Données projet'!$B$11,Paramètres!$A$1:$I$89,5,0)</f>
        <v>347.4899999999999</v>
      </c>
      <c r="BF120" s="13">
        <f t="shared" si="91"/>
        <v>81.045459877391451</v>
      </c>
      <c r="BG120" s="20">
        <f t="shared" si="61"/>
        <v>746.36592595312322</v>
      </c>
      <c r="BH120" s="59">
        <f t="shared" si="62"/>
        <v>1039.6992592864565</v>
      </c>
      <c r="BI120" s="59">
        <f ca="1">AVERAGE(OFFSET($BH$3,0,0,'Données projet'!$E$11+1,1))-AVERAGE(OFFSET($H$3,0,0,'Données projet'!$E$11+1,1))</f>
        <v>352.61091660077574</v>
      </c>
      <c r="BJ120" s="59">
        <f t="shared" si="92"/>
        <v>186.48649111821521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105.59112644941143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105.59112644941143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795.00000000000068</v>
      </c>
      <c r="O121" s="13">
        <f>N121*VLOOKUP('Données projet'!$B$9,Paramètres!$A$1:$I$89,3,0)*VLOOKUP('Données projet'!$B$9,Paramètres!$A$1:$I$89,5,0)</f>
        <v>372.06000000000029</v>
      </c>
      <c r="P121" s="13">
        <f t="shared" si="87"/>
        <v>86.088609967897526</v>
      </c>
      <c r="Q121" s="20">
        <f t="shared" si="107"/>
        <v>797.94216236075533</v>
      </c>
      <c r="R121" s="59">
        <f t="shared" si="55"/>
        <v>1091.2754956940887</v>
      </c>
      <c r="S121" s="59">
        <f ca="1">AVERAGE(OFFSET($R$3,0,0,'Données projet'!$E$9+1,1))-AVERAGE(OFFSET($H$3,0,0,'Données projet'!$E$9+1,1))</f>
        <v>379.12827535040157</v>
      </c>
      <c r="T121" s="59">
        <f t="shared" si="88"/>
        <v>317.29813413796956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60.578173902607276</v>
      </c>
      <c r="AA121" s="21">
        <f>EXP(-LN(2)/25)*AA120+(1-EXP(-LN(2)/25))/(LN(2)/25)*Calculateur!V121*Calculateur!X121*VLOOKUP('Données projet'!$B$9,Paramètres!$A$1:$I$89,3,0)*0.475*44/12</f>
        <v>3.8820886481123527</v>
      </c>
      <c r="AB121" s="21">
        <f>EXP(-LN(2)/2)*AB120+(1-EXP(-LN(2)/2))/(LN(2)/2)*V121*Y121*VLOOKUP('Données projet'!$B$9,Paramètres!$A$1:$I$89,3,0)*0.475*44/12</f>
        <v>2.4472872788376134E-14</v>
      </c>
      <c r="AC121" s="22">
        <f t="shared" si="57"/>
        <v>64.460262550719662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311.298</v>
      </c>
      <c r="AK121" s="13">
        <f t="shared" si="89"/>
        <v>73.539838278528748</v>
      </c>
      <c r="AL121" s="20">
        <f t="shared" si="58"/>
        <v>670.25923500177089</v>
      </c>
      <c r="AM121" s="59">
        <f t="shared" si="59"/>
        <v>963.59256833510426</v>
      </c>
      <c r="AN121" s="59">
        <f ca="1">AVERAGE(OFFSET($AM$3,0,0,'Données projet'!$E$10+1,1))-AVERAGE(OFFSET($H$3,0,0,'Données projet'!$E$10+1,1))</f>
        <v>392.48436003609055</v>
      </c>
      <c r="AO121" s="59">
        <f t="shared" si="90"/>
        <v>236.3312446580419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105.70735171088513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105.70735171088513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404.99999999999989</v>
      </c>
      <c r="BE121" s="13">
        <f>BD121*VLOOKUP('Données projet'!$B$11,Paramètres!$A$1:$I$89,3,0)*VLOOKUP('Données projet'!$B$11,Paramètres!$A$1:$I$89,5,0)</f>
        <v>347.4899999999999</v>
      </c>
      <c r="BF121" s="13">
        <f t="shared" si="91"/>
        <v>81.045459877391451</v>
      </c>
      <c r="BG121" s="20">
        <f t="shared" si="61"/>
        <v>746.36592595312322</v>
      </c>
      <c r="BH121" s="59">
        <f t="shared" si="62"/>
        <v>1039.6992592864565</v>
      </c>
      <c r="BI121" s="59">
        <f ca="1">AVERAGE(OFFSET($BH$3,0,0,'Données projet'!$E$11+1,1))-AVERAGE(OFFSET($H$3,0,0,'Données projet'!$E$11+1,1))</f>
        <v>352.61091660077574</v>
      </c>
      <c r="BJ121" s="59">
        <f t="shared" si="92"/>
        <v>186.48649111821521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103.52054886396623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103.52054886396623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795.00000000000068</v>
      </c>
      <c r="O122" s="13">
        <f>N122*VLOOKUP('Données projet'!$B$9,Paramètres!$A$1:$I$89,3,0)*VLOOKUP('Données projet'!$B$9,Paramètres!$A$1:$I$89,5,0)</f>
        <v>372.06000000000029</v>
      </c>
      <c r="P122" s="13">
        <f t="shared" si="87"/>
        <v>86.088609967897526</v>
      </c>
      <c r="Q122" s="20">
        <f t="shared" si="107"/>
        <v>797.94216236075533</v>
      </c>
      <c r="R122" s="59">
        <f t="shared" si="55"/>
        <v>1091.2754956940887</v>
      </c>
      <c r="S122" s="59">
        <f ca="1">AVERAGE(OFFSET($R$3,0,0,'Données projet'!$E$9+1,1))-AVERAGE(OFFSET($H$3,0,0,'Données projet'!$E$9+1,1))</f>
        <v>379.12827535040157</v>
      </c>
      <c r="T122" s="59">
        <f t="shared" si="88"/>
        <v>317.29813413796956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59.390272861414815</v>
      </c>
      <c r="AA122" s="21">
        <f>EXP(-LN(2)/25)*AA121+(1-EXP(-LN(2)/25))/(LN(2)/25)*Calculateur!V122*Calculateur!X122*VLOOKUP('Données projet'!$B$9,Paramètres!$A$1:$I$89,3,0)*0.475*44/12</f>
        <v>3.7759327298795511</v>
      </c>
      <c r="AB122" s="21">
        <f>EXP(-LN(2)/2)*AB121+(1-EXP(-LN(2)/2))/(LN(2)/2)*V122*Y122*VLOOKUP('Données projet'!$B$9,Paramètres!$A$1:$I$89,3,0)*0.475*44/12</f>
        <v>1.7304934303776496E-14</v>
      </c>
      <c r="AC122" s="22">
        <f t="shared" si="57"/>
        <v>63.166205591294379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311.298</v>
      </c>
      <c r="AK122" s="13">
        <f t="shared" si="89"/>
        <v>73.539838278528748</v>
      </c>
      <c r="AL122" s="20">
        <f t="shared" si="58"/>
        <v>670.25923500177089</v>
      </c>
      <c r="AM122" s="59">
        <f t="shared" si="59"/>
        <v>963.59256833510426</v>
      </c>
      <c r="AN122" s="59">
        <f ca="1">AVERAGE(OFFSET($AM$3,0,0,'Données projet'!$E$10+1,1))-AVERAGE(OFFSET($H$3,0,0,'Données projet'!$E$10+1,1))</f>
        <v>392.48436003609055</v>
      </c>
      <c r="AO122" s="59">
        <f t="shared" si="90"/>
        <v>236.3312446580419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103.63449501895283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103.63449501895283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404.99999999999989</v>
      </c>
      <c r="BE122" s="13">
        <f>BD122*VLOOKUP('Données projet'!$B$11,Paramètres!$A$1:$I$89,3,0)*VLOOKUP('Données projet'!$B$11,Paramètres!$A$1:$I$89,5,0)</f>
        <v>347.4899999999999</v>
      </c>
      <c r="BF122" s="13">
        <f t="shared" si="91"/>
        <v>81.045459877391451</v>
      </c>
      <c r="BG122" s="20">
        <f t="shared" si="61"/>
        <v>746.36592595312322</v>
      </c>
      <c r="BH122" s="59">
        <f t="shared" si="62"/>
        <v>1039.6992592864565</v>
      </c>
      <c r="BI122" s="59">
        <f ca="1">AVERAGE(OFFSET($BH$3,0,0,'Données projet'!$E$11+1,1))-AVERAGE(OFFSET($H$3,0,0,'Données projet'!$E$11+1,1))</f>
        <v>352.61091660077574</v>
      </c>
      <c r="BJ122" s="59">
        <f t="shared" si="92"/>
        <v>186.48649111821521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101.49057404204397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101.49057404204397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795.00000000000068</v>
      </c>
      <c r="O123" s="13">
        <f>N123*VLOOKUP('Données projet'!$B$9,Paramètres!$A$1:$I$89,3,0)*VLOOKUP('Données projet'!$B$9,Paramètres!$A$1:$I$89,5,0)</f>
        <v>372.06000000000029</v>
      </c>
      <c r="P123" s="13">
        <f t="shared" si="87"/>
        <v>86.088609967897526</v>
      </c>
      <c r="Q123" s="20">
        <f t="shared" si="107"/>
        <v>797.94216236075533</v>
      </c>
      <c r="R123" s="59">
        <f t="shared" si="55"/>
        <v>1091.2754956940887</v>
      </c>
      <c r="S123" s="59">
        <f ca="1">AVERAGE(OFFSET($R$3,0,0,'Données projet'!$E$9+1,1))-AVERAGE(OFFSET($H$3,0,0,'Données projet'!$E$9+1,1))</f>
        <v>379.12827535040157</v>
      </c>
      <c r="T123" s="59">
        <f t="shared" si="88"/>
        <v>317.29813413796956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58.225665835092045</v>
      </c>
      <c r="AA123" s="21">
        <f>EXP(-LN(2)/25)*AA122+(1-EXP(-LN(2)/25))/(LN(2)/25)*Calculateur!V123*Calculateur!X123*VLOOKUP('Données projet'!$B$9,Paramètres!$A$1:$I$89,3,0)*0.475*44/12</f>
        <v>3.6726796508133224</v>
      </c>
      <c r="AB123" s="21">
        <f>EXP(-LN(2)/2)*AB122+(1-EXP(-LN(2)/2))/(LN(2)/2)*V123*Y123*VLOOKUP('Données projet'!$B$9,Paramètres!$A$1:$I$89,3,0)*0.475*44/12</f>
        <v>1.2236436394188067E-14</v>
      </c>
      <c r="AC123" s="22">
        <f t="shared" si="57"/>
        <v>61.898345485905381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311.298</v>
      </c>
      <c r="AK123" s="13">
        <f t="shared" si="89"/>
        <v>73.539838278528748</v>
      </c>
      <c r="AL123" s="20">
        <f t="shared" si="58"/>
        <v>670.25923500177089</v>
      </c>
      <c r="AM123" s="59">
        <f t="shared" si="59"/>
        <v>963.59256833510426</v>
      </c>
      <c r="AN123" s="59">
        <f ca="1">AVERAGE(OFFSET($AM$3,0,0,'Données projet'!$E$10+1,1))-AVERAGE(OFFSET($H$3,0,0,'Données projet'!$E$10+1,1))</f>
        <v>392.48436003609055</v>
      </c>
      <c r="AO123" s="59">
        <f t="shared" si="90"/>
        <v>236.3312446580419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101.60228578243158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101.60228578243158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404.99999999999989</v>
      </c>
      <c r="BE123" s="13">
        <f>BD123*VLOOKUP('Données projet'!$B$11,Paramètres!$A$1:$I$89,3,0)*VLOOKUP('Données projet'!$B$11,Paramètres!$A$1:$I$89,5,0)</f>
        <v>347.4899999999999</v>
      </c>
      <c r="BF123" s="13">
        <f t="shared" si="91"/>
        <v>81.045459877391451</v>
      </c>
      <c r="BG123" s="20">
        <f t="shared" si="61"/>
        <v>746.36592595312322</v>
      </c>
      <c r="BH123" s="59">
        <f t="shared" si="62"/>
        <v>1039.6992592864565</v>
      </c>
      <c r="BI123" s="59">
        <f ca="1">AVERAGE(OFFSET($BH$3,0,0,'Données projet'!$E$11+1,1))-AVERAGE(OFFSET($H$3,0,0,'Données projet'!$E$11+1,1))</f>
        <v>352.61091660077574</v>
      </c>
      <c r="BJ123" s="59">
        <f t="shared" si="92"/>
        <v>186.48649111821521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99.500405788217236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99.500405788217236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795.00000000000068</v>
      </c>
      <c r="O124" s="13">
        <f>N124*VLOOKUP('Données projet'!$B$9,Paramètres!$A$1:$I$89,3,0)*VLOOKUP('Données projet'!$B$9,Paramètres!$A$1:$I$89,5,0)</f>
        <v>372.06000000000029</v>
      </c>
      <c r="P124" s="13">
        <f t="shared" si="87"/>
        <v>86.088609967897526</v>
      </c>
      <c r="Q124" s="20">
        <f t="shared" si="107"/>
        <v>797.94216236075533</v>
      </c>
      <c r="R124" s="59">
        <f t="shared" si="55"/>
        <v>1091.2754956940887</v>
      </c>
      <c r="S124" s="59">
        <f ca="1">AVERAGE(OFFSET($R$3,0,0,'Données projet'!$E$9+1,1))-AVERAGE(OFFSET($H$3,0,0,'Données projet'!$E$9+1,1))</f>
        <v>379.12827535040157</v>
      </c>
      <c r="T124" s="59">
        <f t="shared" si="88"/>
        <v>317.29813413796956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57.083896042215315</v>
      </c>
      <c r="AA124" s="21">
        <f>EXP(-LN(2)/25)*AA123+(1-EXP(-LN(2)/25))/(LN(2)/25)*Calculateur!V124*Calculateur!X124*VLOOKUP('Données projet'!$B$9,Paramètres!$A$1:$I$89,3,0)*0.475*44/12</f>
        <v>3.5722500326240034</v>
      </c>
      <c r="AB124" s="21">
        <f>EXP(-LN(2)/2)*AB123+(1-EXP(-LN(2)/2))/(LN(2)/2)*V124*Y124*VLOOKUP('Données projet'!$B$9,Paramètres!$A$1:$I$89,3,0)*0.475*44/12</f>
        <v>8.6524671518882479E-15</v>
      </c>
      <c r="AC124" s="22">
        <f t="shared" si="57"/>
        <v>60.656146074839327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311.298</v>
      </c>
      <c r="AK124" s="13">
        <f t="shared" si="89"/>
        <v>73.539838278528748</v>
      </c>
      <c r="AL124" s="20">
        <f t="shared" si="58"/>
        <v>670.25923500177089</v>
      </c>
      <c r="AM124" s="59">
        <f t="shared" si="59"/>
        <v>963.59256833510426</v>
      </c>
      <c r="AN124" s="59">
        <f ca="1">AVERAGE(OFFSET($AM$3,0,0,'Données projet'!$E$10+1,1))-AVERAGE(OFFSET($H$3,0,0,'Données projet'!$E$10+1,1))</f>
        <v>392.48436003609055</v>
      </c>
      <c r="AO124" s="59">
        <f t="shared" si="90"/>
        <v>236.3312446580419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99.609926929513264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99.609926929513264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404.99999999999989</v>
      </c>
      <c r="BE124" s="13">
        <f>BD124*VLOOKUP('Données projet'!$B$11,Paramètres!$A$1:$I$89,3,0)*VLOOKUP('Données projet'!$B$11,Paramètres!$A$1:$I$89,5,0)</f>
        <v>347.4899999999999</v>
      </c>
      <c r="BF124" s="13">
        <f t="shared" si="91"/>
        <v>81.045459877391451</v>
      </c>
      <c r="BG124" s="20">
        <f t="shared" si="61"/>
        <v>746.36592595312322</v>
      </c>
      <c r="BH124" s="59">
        <f t="shared" si="62"/>
        <v>1039.6992592864565</v>
      </c>
      <c r="BI124" s="59">
        <f ca="1">AVERAGE(OFFSET($BH$3,0,0,'Données projet'!$E$11+1,1))-AVERAGE(OFFSET($H$3,0,0,'Données projet'!$E$11+1,1))</f>
        <v>352.61091660077574</v>
      </c>
      <c r="BJ124" s="59">
        <f t="shared" si="92"/>
        <v>186.48649111821521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97.549263519965265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97.549263519965265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795.00000000000068</v>
      </c>
      <c r="O125" s="13">
        <f>N125*VLOOKUP('Données projet'!$B$9,Paramètres!$A$1:$I$89,3,0)*VLOOKUP('Données projet'!$B$9,Paramètres!$A$1:$I$89,5,0)</f>
        <v>372.06000000000029</v>
      </c>
      <c r="P125" s="13">
        <f t="shared" si="87"/>
        <v>86.088609967897526</v>
      </c>
      <c r="Q125" s="20">
        <f t="shared" si="107"/>
        <v>797.94216236075533</v>
      </c>
      <c r="R125" s="59">
        <f t="shared" si="55"/>
        <v>1091.2754956940887</v>
      </c>
      <c r="S125" s="59">
        <f ca="1">AVERAGE(OFFSET($R$3,0,0,'Données projet'!$E$9+1,1))-AVERAGE(OFFSET($H$3,0,0,'Données projet'!$E$9+1,1))</f>
        <v>379.12827535040157</v>
      </c>
      <c r="T125" s="59">
        <f t="shared" si="88"/>
        <v>317.29813413796956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55.964515658566093</v>
      </c>
      <c r="AA125" s="21">
        <f>EXP(-LN(2)/25)*AA124+(1-EXP(-LN(2)/25))/(LN(2)/25)*Calculateur!V125*Calculateur!X125*VLOOKUP('Données projet'!$B$9,Paramètres!$A$1:$I$89,3,0)*0.475*44/12</f>
        <v>3.4745666676254352</v>
      </c>
      <c r="AB125" s="21">
        <f>EXP(-LN(2)/2)*AB124+(1-EXP(-LN(2)/2))/(LN(2)/2)*V125*Y125*VLOOKUP('Données projet'!$B$9,Paramètres!$A$1:$I$89,3,0)*0.475*44/12</f>
        <v>6.1182181970940334E-15</v>
      </c>
      <c r="AC125" s="22">
        <f t="shared" si="57"/>
        <v>59.439082326191532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311.298</v>
      </c>
      <c r="AK125" s="13">
        <f t="shared" si="89"/>
        <v>73.539838278528748</v>
      </c>
      <c r="AL125" s="20">
        <f t="shared" si="58"/>
        <v>670.25923500177089</v>
      </c>
      <c r="AM125" s="59">
        <f t="shared" si="59"/>
        <v>963.59256833510426</v>
      </c>
      <c r="AN125" s="59">
        <f ca="1">AVERAGE(OFFSET($AM$3,0,0,'Données projet'!$E$10+1,1))-AVERAGE(OFFSET($H$3,0,0,'Données projet'!$E$10+1,1))</f>
        <v>392.48436003609055</v>
      </c>
      <c r="AO125" s="59">
        <f t="shared" si="90"/>
        <v>236.3312446580419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97.656637018481774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97.656637018481774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404.99999999999989</v>
      </c>
      <c r="BE125" s="13">
        <f>BD125*VLOOKUP('Données projet'!$B$11,Paramètres!$A$1:$I$89,3,0)*VLOOKUP('Données projet'!$B$11,Paramètres!$A$1:$I$89,5,0)</f>
        <v>347.4899999999999</v>
      </c>
      <c r="BF125" s="13">
        <f t="shared" si="91"/>
        <v>81.045459877391451</v>
      </c>
      <c r="BG125" s="20">
        <f t="shared" si="61"/>
        <v>746.36592595312322</v>
      </c>
      <c r="BH125" s="59">
        <f t="shared" si="62"/>
        <v>1039.6992592864565</v>
      </c>
      <c r="BI125" s="59">
        <f ca="1">AVERAGE(OFFSET($BH$3,0,0,'Données projet'!$E$11+1,1))-AVERAGE(OFFSET($H$3,0,0,'Données projet'!$E$11+1,1))</f>
        <v>352.61091660077574</v>
      </c>
      <c r="BJ125" s="59">
        <f t="shared" si="92"/>
        <v>186.48649111821521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95.636381961514445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95.636381961514445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795.00000000000068</v>
      </c>
      <c r="O126" s="13">
        <f>N126*VLOOKUP('Données projet'!$B$9,Paramètres!$A$1:$I$89,3,0)*VLOOKUP('Données projet'!$B$9,Paramètres!$A$1:$I$89,5,0)</f>
        <v>372.06000000000029</v>
      </c>
      <c r="P126" s="13">
        <f t="shared" si="87"/>
        <v>86.088609967897526</v>
      </c>
      <c r="Q126" s="20">
        <f t="shared" si="107"/>
        <v>797.94216236075533</v>
      </c>
      <c r="R126" s="59">
        <f t="shared" si="55"/>
        <v>1091.2754956940887</v>
      </c>
      <c r="S126" s="59">
        <f ca="1">AVERAGE(OFFSET($R$3,0,0,'Données projet'!$E$9+1,1))-AVERAGE(OFFSET($H$3,0,0,'Données projet'!$E$9+1,1))</f>
        <v>379.12827535040157</v>
      </c>
      <c r="T126" s="59">
        <f t="shared" si="88"/>
        <v>317.29813413796956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54.867085641485616</v>
      </c>
      <c r="AA126" s="21">
        <f>EXP(-LN(2)/25)*AA125+(1-EXP(-LN(2)/25))/(LN(2)/25)*Calculateur!V126*Calculateur!X126*VLOOKUP('Données projet'!$B$9,Paramètres!$A$1:$I$89,3,0)*0.475*44/12</f>
        <v>3.379554459379698</v>
      </c>
      <c r="AB126" s="21">
        <f>EXP(-LN(2)/2)*AB125+(1-EXP(-LN(2)/2))/(LN(2)/2)*V126*Y126*VLOOKUP('Données projet'!$B$9,Paramètres!$A$1:$I$89,3,0)*0.475*44/12</f>
        <v>4.326233575944124E-15</v>
      </c>
      <c r="AC126" s="22">
        <f t="shared" si="57"/>
        <v>58.246640100865321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311.298</v>
      </c>
      <c r="AK126" s="13">
        <f t="shared" si="89"/>
        <v>73.539838278528748</v>
      </c>
      <c r="AL126" s="20">
        <f t="shared" si="58"/>
        <v>670.25923500177089</v>
      </c>
      <c r="AM126" s="59">
        <f t="shared" si="59"/>
        <v>963.59256833510426</v>
      </c>
      <c r="AN126" s="59">
        <f ca="1">AVERAGE(OFFSET($AM$3,0,0,'Données projet'!$E$10+1,1))-AVERAGE(OFFSET($H$3,0,0,'Données projet'!$E$10+1,1))</f>
        <v>392.48436003609055</v>
      </c>
      <c r="AO126" s="59">
        <f t="shared" si="90"/>
        <v>236.3312446580419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95.741649931216401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95.741649931216401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404.99999999999989</v>
      </c>
      <c r="BE126" s="13">
        <f>BD126*VLOOKUP('Données projet'!$B$11,Paramètres!$A$1:$I$89,3,0)*VLOOKUP('Données projet'!$B$11,Paramètres!$A$1:$I$89,5,0)</f>
        <v>347.4899999999999</v>
      </c>
      <c r="BF126" s="13">
        <f t="shared" si="91"/>
        <v>81.045459877391451</v>
      </c>
      <c r="BG126" s="20">
        <f t="shared" si="61"/>
        <v>746.36592595312322</v>
      </c>
      <c r="BH126" s="59">
        <f t="shared" si="62"/>
        <v>1039.6992592864565</v>
      </c>
      <c r="BI126" s="59">
        <f ca="1">AVERAGE(OFFSET($BH$3,0,0,'Données projet'!$E$11+1,1))-AVERAGE(OFFSET($H$3,0,0,'Données projet'!$E$11+1,1))</f>
        <v>352.61091660077574</v>
      </c>
      <c r="BJ126" s="59">
        <f t="shared" si="92"/>
        <v>186.48649111821521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93.7610108436823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93.7610108436823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795.00000000000068</v>
      </c>
      <c r="O127" s="13">
        <f>N127*VLOOKUP('Données projet'!$B$9,Paramètres!$A$1:$I$89,3,0)*VLOOKUP('Données projet'!$B$9,Paramètres!$A$1:$I$89,5,0)</f>
        <v>372.06000000000029</v>
      </c>
      <c r="P127" s="13">
        <f t="shared" si="87"/>
        <v>86.088609967897526</v>
      </c>
      <c r="Q127" s="20">
        <f t="shared" si="107"/>
        <v>797.94216236075533</v>
      </c>
      <c r="R127" s="59">
        <f t="shared" si="55"/>
        <v>1091.2754956940887</v>
      </c>
      <c r="S127" s="59">
        <f ca="1">AVERAGE(OFFSET($R$3,0,0,'Données projet'!$E$9+1,1))-AVERAGE(OFFSET($H$3,0,0,'Données projet'!$E$9+1,1))</f>
        <v>379.12827535040157</v>
      </c>
      <c r="T127" s="59">
        <f t="shared" si="88"/>
        <v>317.29813413796956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53.791175557673867</v>
      </c>
      <c r="AA127" s="21">
        <f>EXP(-LN(2)/25)*AA126+(1-EXP(-LN(2)/25))/(LN(2)/25)*Calculateur!V127*Calculateur!X127*VLOOKUP('Données projet'!$B$9,Paramètres!$A$1:$I$89,3,0)*0.475*44/12</f>
        <v>3.2871403649649151</v>
      </c>
      <c r="AB127" s="21">
        <f>EXP(-LN(2)/2)*AB126+(1-EXP(-LN(2)/2))/(LN(2)/2)*V127*Y127*VLOOKUP('Données projet'!$B$9,Paramètres!$A$1:$I$89,3,0)*0.475*44/12</f>
        <v>3.0591090985470167E-15</v>
      </c>
      <c r="AC127" s="22">
        <f t="shared" si="57"/>
        <v>57.07831592263878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311.298</v>
      </c>
      <c r="AK127" s="13">
        <f t="shared" si="89"/>
        <v>73.539838278528748</v>
      </c>
      <c r="AL127" s="20">
        <f t="shared" si="58"/>
        <v>670.25923500177089</v>
      </c>
      <c r="AM127" s="59">
        <f t="shared" si="59"/>
        <v>963.59256833510426</v>
      </c>
      <c r="AN127" s="59">
        <f ca="1">AVERAGE(OFFSET($AM$3,0,0,'Données projet'!$E$10+1,1))-AVERAGE(OFFSET($H$3,0,0,'Données projet'!$E$10+1,1))</f>
        <v>392.48436003609055</v>
      </c>
      <c r="AO127" s="59">
        <f t="shared" si="90"/>
        <v>236.3312446580419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93.864214572705521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93.864214572705521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404.99999999999989</v>
      </c>
      <c r="BE127" s="13">
        <f>BD127*VLOOKUP('Données projet'!$B$11,Paramètres!$A$1:$I$89,3,0)*VLOOKUP('Données projet'!$B$11,Paramètres!$A$1:$I$89,5,0)</f>
        <v>347.4899999999999</v>
      </c>
      <c r="BF127" s="13">
        <f t="shared" si="91"/>
        <v>81.045459877391451</v>
      </c>
      <c r="BG127" s="20">
        <f t="shared" si="61"/>
        <v>746.36592595312322</v>
      </c>
      <c r="BH127" s="59">
        <f t="shared" si="62"/>
        <v>1039.6992592864565</v>
      </c>
      <c r="BI127" s="59">
        <f ca="1">AVERAGE(OFFSET($BH$3,0,0,'Données projet'!$E$11+1,1))-AVERAGE(OFFSET($H$3,0,0,'Données projet'!$E$11+1,1))</f>
        <v>352.61091660077574</v>
      </c>
      <c r="BJ127" s="59">
        <f t="shared" si="92"/>
        <v>186.48649111821521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91.922414609607401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91.922414609607401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795.00000000000068</v>
      </c>
      <c r="O128" s="13">
        <f>N128*VLOOKUP('Données projet'!$B$9,Paramètres!$A$1:$I$89,3,0)*VLOOKUP('Données projet'!$B$9,Paramètres!$A$1:$I$89,5,0)</f>
        <v>372.06000000000029</v>
      </c>
      <c r="P128" s="13">
        <f t="shared" si="87"/>
        <v>86.088609967897526</v>
      </c>
      <c r="Q128" s="20">
        <f t="shared" si="107"/>
        <v>797.94216236075533</v>
      </c>
      <c r="R128" s="59">
        <f t="shared" si="55"/>
        <v>1091.2754956940887</v>
      </c>
      <c r="S128" s="59">
        <f ca="1">AVERAGE(OFFSET($R$3,0,0,'Données projet'!$E$9+1,1))-AVERAGE(OFFSET($H$3,0,0,'Données projet'!$E$9+1,1))</f>
        <v>379.12827535040157</v>
      </c>
      <c r="T128" s="59">
        <f t="shared" si="88"/>
        <v>317.29813413796956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52.736363414365314</v>
      </c>
      <c r="AA128" s="21">
        <f>EXP(-LN(2)/25)*AA127+(1-EXP(-LN(2)/25))/(LN(2)/25)*Calculateur!V128*Calculateur!X128*VLOOKUP('Données projet'!$B$9,Paramètres!$A$1:$I$89,3,0)*0.475*44/12</f>
        <v>3.1972533388217506</v>
      </c>
      <c r="AB128" s="21">
        <f>EXP(-LN(2)/2)*AB127+(1-EXP(-LN(2)/2))/(LN(2)/2)*V128*Y128*VLOOKUP('Données projet'!$B$9,Paramètres!$A$1:$I$89,3,0)*0.475*44/12</f>
        <v>2.163116787972062E-15</v>
      </c>
      <c r="AC128" s="22">
        <f t="shared" si="57"/>
        <v>55.933616753187067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311.298</v>
      </c>
      <c r="AK128" s="13">
        <f t="shared" si="89"/>
        <v>73.539838278528748</v>
      </c>
      <c r="AL128" s="20">
        <f t="shared" si="58"/>
        <v>670.25923500177089</v>
      </c>
      <c r="AM128" s="59">
        <f t="shared" si="59"/>
        <v>963.59256833510426</v>
      </c>
      <c r="AN128" s="59">
        <f ca="1">AVERAGE(OFFSET($AM$3,0,0,'Données projet'!$E$10+1,1))-AVERAGE(OFFSET($H$3,0,0,'Données projet'!$E$10+1,1))</f>
        <v>392.48436003609055</v>
      </c>
      <c r="AO128" s="59">
        <f t="shared" si="90"/>
        <v>236.3312446580419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92.023594576452538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92.023594576452538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404.99999999999989</v>
      </c>
      <c r="BE128" s="13">
        <f>BD128*VLOOKUP('Données projet'!$B$11,Paramètres!$A$1:$I$89,3,0)*VLOOKUP('Données projet'!$B$11,Paramètres!$A$1:$I$89,5,0)</f>
        <v>347.4899999999999</v>
      </c>
      <c r="BF128" s="13">
        <f t="shared" si="91"/>
        <v>81.045459877391451</v>
      </c>
      <c r="BG128" s="20">
        <f t="shared" si="61"/>
        <v>746.36592595312322</v>
      </c>
      <c r="BH128" s="59">
        <f t="shared" si="62"/>
        <v>1039.6992592864565</v>
      </c>
      <c r="BI128" s="59">
        <f ca="1">AVERAGE(OFFSET($BH$3,0,0,'Données projet'!$E$11+1,1))-AVERAGE(OFFSET($H$3,0,0,'Données projet'!$E$11+1,1))</f>
        <v>352.61091660077574</v>
      </c>
      <c r="BJ128" s="59">
        <f t="shared" si="92"/>
        <v>186.48649111821521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90.119872126249746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90.119872126249746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795.00000000000068</v>
      </c>
      <c r="O129" s="13">
        <f>N129*VLOOKUP('Données projet'!$B$9,Paramètres!$A$1:$I$89,3,0)*VLOOKUP('Données projet'!$B$9,Paramètres!$A$1:$I$89,5,0)</f>
        <v>372.06000000000029</v>
      </c>
      <c r="P129" s="13">
        <f t="shared" si="87"/>
        <v>86.088609967897526</v>
      </c>
      <c r="Q129" s="20">
        <f t="shared" si="107"/>
        <v>797.94216236075533</v>
      </c>
      <c r="R129" s="59">
        <f t="shared" si="55"/>
        <v>1091.2754956940887</v>
      </c>
      <c r="S129" s="59">
        <f ca="1">AVERAGE(OFFSET($R$3,0,0,'Données projet'!$E$9+1,1))-AVERAGE(OFFSET($H$3,0,0,'Données projet'!$E$9+1,1))</f>
        <v>379.12827535040157</v>
      </c>
      <c r="T129" s="59">
        <f t="shared" si="88"/>
        <v>317.29813413796956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51.702235493815166</v>
      </c>
      <c r="AA129" s="21">
        <f>EXP(-LN(2)/25)*AA128+(1-EXP(-LN(2)/25))/(LN(2)/25)*Calculateur!V129*Calculateur!X129*VLOOKUP('Données projet'!$B$9,Paramètres!$A$1:$I$89,3,0)*0.475*44/12</f>
        <v>3.1098242781354242</v>
      </c>
      <c r="AB129" s="21">
        <f>EXP(-LN(2)/2)*AB128+(1-EXP(-LN(2)/2))/(LN(2)/2)*V129*Y129*VLOOKUP('Données projet'!$B$9,Paramètres!$A$1:$I$89,3,0)*0.475*44/12</f>
        <v>1.5295545492735084E-15</v>
      </c>
      <c r="AC129" s="22">
        <f t="shared" si="57"/>
        <v>54.812059771950594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311.298</v>
      </c>
      <c r="AK129" s="13">
        <f t="shared" si="89"/>
        <v>73.539838278528748</v>
      </c>
      <c r="AL129" s="20">
        <f t="shared" si="58"/>
        <v>670.25923500177089</v>
      </c>
      <c r="AM129" s="59">
        <f t="shared" si="59"/>
        <v>963.59256833510426</v>
      </c>
      <c r="AN129" s="59">
        <f ca="1">AVERAGE(OFFSET($AM$3,0,0,'Données projet'!$E$10+1,1))-AVERAGE(OFFSET($H$3,0,0,'Données projet'!$E$10+1,1))</f>
        <v>392.48436003609055</v>
      </c>
      <c r="AO129" s="59">
        <f t="shared" si="90"/>
        <v>236.3312446580419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90.219068015658735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90.219068015658735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404.99999999999989</v>
      </c>
      <c r="BE129" s="13">
        <f>BD129*VLOOKUP('Données projet'!$B$11,Paramètres!$A$1:$I$89,3,0)*VLOOKUP('Données projet'!$B$11,Paramètres!$A$1:$I$89,5,0)</f>
        <v>347.4899999999999</v>
      </c>
      <c r="BF129" s="13">
        <f t="shared" si="91"/>
        <v>81.045459877391451</v>
      </c>
      <c r="BG129" s="20">
        <f t="shared" si="61"/>
        <v>746.36592595312322</v>
      </c>
      <c r="BH129" s="59">
        <f t="shared" si="62"/>
        <v>1039.6992592864565</v>
      </c>
      <c r="BI129" s="59">
        <f ca="1">AVERAGE(OFFSET($BH$3,0,0,'Données projet'!$E$11+1,1))-AVERAGE(OFFSET($H$3,0,0,'Données projet'!$E$11+1,1))</f>
        <v>352.61091660077574</v>
      </c>
      <c r="BJ129" s="59">
        <f t="shared" si="92"/>
        <v>186.48649111821521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88.352676401548379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88.352676401548379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795.00000000000068</v>
      </c>
      <c r="O130" s="13">
        <f>N130*VLOOKUP('Données projet'!$B$9,Paramètres!$A$1:$I$89,3,0)*VLOOKUP('Données projet'!$B$9,Paramètres!$A$1:$I$89,5,0)</f>
        <v>372.06000000000029</v>
      </c>
      <c r="P130" s="13">
        <f t="shared" si="87"/>
        <v>86.088609967897526</v>
      </c>
      <c r="Q130" s="20">
        <f t="shared" si="107"/>
        <v>797.94216236075533</v>
      </c>
      <c r="R130" s="59">
        <f t="shared" si="55"/>
        <v>1091.2754956940887</v>
      </c>
      <c r="S130" s="59">
        <f ca="1">AVERAGE(OFFSET($R$3,0,0,'Données projet'!$E$9+1,1))-AVERAGE(OFFSET($H$3,0,0,'Données projet'!$E$9+1,1))</f>
        <v>379.12827535040157</v>
      </c>
      <c r="T130" s="59">
        <f t="shared" si="88"/>
        <v>317.29813413796956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50.688386191031256</v>
      </c>
      <c r="AA130" s="21">
        <f>EXP(-LN(2)/25)*AA129+(1-EXP(-LN(2)/25))/(LN(2)/25)*Calculateur!V130*Calculateur!X130*VLOOKUP('Données projet'!$B$9,Paramètres!$A$1:$I$89,3,0)*0.475*44/12</f>
        <v>3.0247859697112598</v>
      </c>
      <c r="AB130" s="21">
        <f>EXP(-LN(2)/2)*AB129+(1-EXP(-LN(2)/2))/(LN(2)/2)*V130*Y130*VLOOKUP('Données projet'!$B$9,Paramètres!$A$1:$I$89,3,0)*0.475*44/12</f>
        <v>1.081558393986031E-15</v>
      </c>
      <c r="AC130" s="22">
        <f t="shared" si="57"/>
        <v>53.713172160742516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311.298</v>
      </c>
      <c r="AK130" s="13">
        <f t="shared" si="89"/>
        <v>73.539838278528748</v>
      </c>
      <c r="AL130" s="20">
        <f t="shared" si="58"/>
        <v>670.25923500177089</v>
      </c>
      <c r="AM130" s="59">
        <f t="shared" si="59"/>
        <v>963.59256833510426</v>
      </c>
      <c r="AN130" s="59">
        <f ca="1">AVERAGE(OFFSET($AM$3,0,0,'Données projet'!$E$10+1,1))-AVERAGE(OFFSET($H$3,0,0,'Données projet'!$E$10+1,1))</f>
        <v>392.48436003609055</v>
      </c>
      <c r="AO130" s="59">
        <f t="shared" si="90"/>
        <v>236.3312446580419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88.449927120069574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88.449927120069574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404.99999999999989</v>
      </c>
      <c r="BE130" s="13">
        <f>BD130*VLOOKUP('Données projet'!$B$11,Paramètres!$A$1:$I$89,3,0)*VLOOKUP('Données projet'!$B$11,Paramètres!$A$1:$I$89,5,0)</f>
        <v>347.4899999999999</v>
      </c>
      <c r="BF130" s="13">
        <f t="shared" si="91"/>
        <v>81.045459877391451</v>
      </c>
      <c r="BG130" s="20">
        <f t="shared" si="61"/>
        <v>746.36592595312322</v>
      </c>
      <c r="BH130" s="59">
        <f t="shared" si="62"/>
        <v>1039.6992592864565</v>
      </c>
      <c r="BI130" s="59">
        <f ca="1">AVERAGE(OFFSET($BH$3,0,0,'Données projet'!$E$11+1,1))-AVERAGE(OFFSET($H$3,0,0,'Données projet'!$E$11+1,1))</f>
        <v>352.61091660077574</v>
      </c>
      <c r="BJ130" s="59">
        <f t="shared" si="92"/>
        <v>186.48649111821521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86.62013430712544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86.62013430712544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795.00000000000068</v>
      </c>
      <c r="O131" s="13">
        <f>N131*VLOOKUP('Données projet'!$B$9,Paramètres!$A$1:$I$89,3,0)*VLOOKUP('Données projet'!$B$9,Paramètres!$A$1:$I$89,5,0)</f>
        <v>372.06000000000029</v>
      </c>
      <c r="P131" s="13">
        <f t="shared" si="87"/>
        <v>86.088609967897526</v>
      </c>
      <c r="Q131" s="20">
        <f t="shared" ref="Q131:Q153" si="108">(O131+P131)*0.475*44/12</f>
        <v>797.94216236075533</v>
      </c>
      <c r="R131" s="59">
        <f t="shared" ref="R131:R194" si="109">Q131+(I131+J131)*44/12</f>
        <v>1091.2754956940887</v>
      </c>
      <c r="S131" s="59">
        <f ca="1">AVERAGE(OFFSET($R$3,0,0,'Données projet'!$E$9+1,1))-AVERAGE(OFFSET($H$3,0,0,'Données projet'!$E$9+1,1))</f>
        <v>379.12827535040157</v>
      </c>
      <c r="T131" s="59">
        <f t="shared" si="88"/>
        <v>317.29813413796956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49.69441785468792</v>
      </c>
      <c r="AA131" s="21">
        <f>EXP(-LN(2)/25)*AA130+(1-EXP(-LN(2)/25))/(LN(2)/25)*Calculateur!V131*Calculateur!X131*VLOOKUP('Données projet'!$B$9,Paramètres!$A$1:$I$89,3,0)*0.475*44/12</f>
        <v>2.9420730383029245</v>
      </c>
      <c r="AB131" s="21">
        <f>EXP(-LN(2)/2)*AB130+(1-EXP(-LN(2)/2))/(LN(2)/2)*V131*Y131*VLOOKUP('Données projet'!$B$9,Paramètres!$A$1:$I$89,3,0)*0.475*44/12</f>
        <v>7.6477727463675418E-16</v>
      </c>
      <c r="AC131" s="22">
        <f t="shared" si="57"/>
        <v>52.636490892990842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311.298</v>
      </c>
      <c r="AK131" s="13">
        <f t="shared" si="89"/>
        <v>73.539838278528748</v>
      </c>
      <c r="AL131" s="20">
        <f t="shared" si="58"/>
        <v>670.25923500177089</v>
      </c>
      <c r="AM131" s="59">
        <f t="shared" si="59"/>
        <v>963.59256833510426</v>
      </c>
      <c r="AN131" s="59">
        <f ca="1">AVERAGE(OFFSET($AM$3,0,0,'Données projet'!$E$10+1,1))-AVERAGE(OFFSET($H$3,0,0,'Données projet'!$E$10+1,1))</f>
        <v>392.48436003609055</v>
      </c>
      <c r="AO131" s="59">
        <f t="shared" si="90"/>
        <v>236.3312446580419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86.715477998373515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86.715477998373515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404.99999999999989</v>
      </c>
      <c r="BE131" s="13">
        <f>BD131*VLOOKUP('Données projet'!$B$11,Paramètres!$A$1:$I$89,3,0)*VLOOKUP('Données projet'!$B$11,Paramètres!$A$1:$I$89,5,0)</f>
        <v>347.4899999999999</v>
      </c>
      <c r="BF131" s="13">
        <f t="shared" si="91"/>
        <v>81.045459877391451</v>
      </c>
      <c r="BG131" s="20">
        <f t="shared" si="61"/>
        <v>746.36592595312322</v>
      </c>
      <c r="BH131" s="59">
        <f t="shared" si="62"/>
        <v>1039.6992592864565</v>
      </c>
      <c r="BI131" s="59">
        <f ca="1">AVERAGE(OFFSET($BH$3,0,0,'Données projet'!$E$11+1,1))-AVERAGE(OFFSET($H$3,0,0,'Données projet'!$E$11+1,1))</f>
        <v>352.61091660077574</v>
      </c>
      <c r="BJ131" s="59">
        <f t="shared" si="92"/>
        <v>186.48649111821521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84.921566306427806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84.921566306427806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795.00000000000068</v>
      </c>
      <c r="O132" s="13">
        <f>N132*VLOOKUP('Données projet'!$B$9,Paramètres!$A$1:$I$89,3,0)*VLOOKUP('Données projet'!$B$9,Paramètres!$A$1:$I$89,5,0)</f>
        <v>372.06000000000029</v>
      </c>
      <c r="P132" s="13">
        <f t="shared" si="87"/>
        <v>86.088609967897526</v>
      </c>
      <c r="Q132" s="20">
        <f t="shared" si="108"/>
        <v>797.94216236075533</v>
      </c>
      <c r="R132" s="59">
        <f t="shared" si="109"/>
        <v>1091.2754956940887</v>
      </c>
      <c r="S132" s="59">
        <f ca="1">AVERAGE(OFFSET($R$3,0,0,'Données projet'!$E$9+1,1))-AVERAGE(OFFSET($H$3,0,0,'Données projet'!$E$9+1,1))</f>
        <v>379.12827535040157</v>
      </c>
      <c r="T132" s="59">
        <f t="shared" si="88"/>
        <v>317.29813413796956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48.71994063115946</v>
      </c>
      <c r="AA132" s="21">
        <f>EXP(-LN(2)/25)*AA131+(1-EXP(-LN(2)/25))/(LN(2)/25)*Calculateur!V132*Calculateur!X132*VLOOKUP('Données projet'!$B$9,Paramètres!$A$1:$I$89,3,0)*0.475*44/12</f>
        <v>2.8616218963536344</v>
      </c>
      <c r="AB132" s="21">
        <f>EXP(-LN(2)/2)*AB131+(1-EXP(-LN(2)/2))/(LN(2)/2)*V132*Y132*VLOOKUP('Données projet'!$B$9,Paramètres!$A$1:$I$89,3,0)*0.475*44/12</f>
        <v>5.4077919699301549E-16</v>
      </c>
      <c r="AC132" s="22">
        <f t="shared" ref="AC132:AC153" si="111">SUM(Z132:AB132)</f>
        <v>51.581562527513093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311.298</v>
      </c>
      <c r="AK132" s="13">
        <f t="shared" si="89"/>
        <v>73.539838278528748</v>
      </c>
      <c r="AL132" s="20">
        <f t="shared" ref="AL132:AL153" si="112">(AJ132+AK132)*0.475*44/12</f>
        <v>670.25923500177089</v>
      </c>
      <c r="AM132" s="59">
        <f t="shared" ref="AM132:AM195" si="113">AL132+(AD132+AE132)*44/12</f>
        <v>963.59256833510426</v>
      </c>
      <c r="AN132" s="59">
        <f ca="1">AVERAGE(OFFSET($AM$3,0,0,'Données projet'!$E$10+1,1))-AVERAGE(OFFSET($H$3,0,0,'Données projet'!$E$10+1,1))</f>
        <v>392.48436003609055</v>
      </c>
      <c r="AO132" s="59">
        <f t="shared" si="90"/>
        <v>236.3312446580419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85.015040366044417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85.015040366044417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404.99999999999989</v>
      </c>
      <c r="BE132" s="13">
        <f>BD132*VLOOKUP('Données projet'!$B$11,Paramètres!$A$1:$I$89,3,0)*VLOOKUP('Données projet'!$B$11,Paramètres!$A$1:$I$89,5,0)</f>
        <v>347.4899999999999</v>
      </c>
      <c r="BF132" s="13">
        <f t="shared" si="91"/>
        <v>81.045459877391451</v>
      </c>
      <c r="BG132" s="20">
        <f t="shared" ref="BG132:BG153" si="115">(BE132+BF132)*0.475*44/12</f>
        <v>746.36592595312322</v>
      </c>
      <c r="BH132" s="59">
        <f t="shared" ref="BH132:BH195" si="116">BG132+(AY132+AZ132)*44/12</f>
        <v>1039.6992592864565</v>
      </c>
      <c r="BI132" s="59">
        <f ca="1">AVERAGE(OFFSET($BH$3,0,0,'Données projet'!$E$11+1,1))-AVERAGE(OFFSET($H$3,0,0,'Données projet'!$E$11+1,1))</f>
        <v>352.61091660077574</v>
      </c>
      <c r="BJ132" s="59">
        <f t="shared" si="92"/>
        <v>186.48649111821521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83.256306188199673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83.256306188199673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795.00000000000068</v>
      </c>
      <c r="O133" s="13">
        <f>N133*VLOOKUP('Données projet'!$B$9,Paramètres!$A$1:$I$89,3,0)*VLOOKUP('Données projet'!$B$9,Paramètres!$A$1:$I$89,5,0)</f>
        <v>372.06000000000029</v>
      </c>
      <c r="P133" s="13">
        <f t="shared" ref="P133:P196" si="141">EXP(-1.0587+0.8836*LN(O133)+0.284)</f>
        <v>86.088609967897526</v>
      </c>
      <c r="Q133" s="20">
        <f t="shared" si="108"/>
        <v>797.94216236075533</v>
      </c>
      <c r="R133" s="59">
        <f t="shared" si="109"/>
        <v>1091.2754956940887</v>
      </c>
      <c r="S133" s="59">
        <f ca="1">AVERAGE(OFFSET($R$3,0,0,'Données projet'!$E$9+1,1))-AVERAGE(OFFSET($H$3,0,0,'Données projet'!$E$9+1,1))</f>
        <v>379.12827535040157</v>
      </c>
      <c r="T133" s="59">
        <f t="shared" ref="T133:T196" si="142">$T$3</f>
        <v>317.29813413796956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47.764572311611971</v>
      </c>
      <c r="AA133" s="21">
        <f>EXP(-LN(2)/25)*AA132+(1-EXP(-LN(2)/25))/(LN(2)/25)*Calculateur!V133*Calculateur!X133*VLOOKUP('Données projet'!$B$9,Paramètres!$A$1:$I$89,3,0)*0.475*44/12</f>
        <v>2.7833706951116892</v>
      </c>
      <c r="AB133" s="21">
        <f>EXP(-LN(2)/2)*AB132+(1-EXP(-LN(2)/2))/(LN(2)/2)*V133*Y133*VLOOKUP('Données projet'!$B$9,Paramètres!$A$1:$I$89,3,0)*0.475*44/12</f>
        <v>3.8238863731837709E-16</v>
      </c>
      <c r="AC133" s="22">
        <f t="shared" si="111"/>
        <v>50.547943006723663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311.298</v>
      </c>
      <c r="AK133" s="13">
        <f t="shared" ref="AK133:AK153" si="143">EXP(-1.0587+0.8836*LN(AJ133)+0.284)</f>
        <v>73.539838278528748</v>
      </c>
      <c r="AL133" s="20">
        <f t="shared" si="112"/>
        <v>670.25923500177089</v>
      </c>
      <c r="AM133" s="59">
        <f t="shared" si="113"/>
        <v>963.59256833510426</v>
      </c>
      <c r="AN133" s="59">
        <f ca="1">AVERAGE(OFFSET($AM$3,0,0,'Données projet'!$E$10+1,1))-AVERAGE(OFFSET($H$3,0,0,'Données projet'!$E$10+1,1))</f>
        <v>392.48436003609055</v>
      </c>
      <c r="AO133" s="59">
        <f t="shared" ref="AO133:AO196" si="144">$AO$3</f>
        <v>236.3312446580419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83.347947278520749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83.347947278520749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404.99999999999989</v>
      </c>
      <c r="BE133" s="13">
        <f>BD133*VLOOKUP('Données projet'!$B$11,Paramètres!$A$1:$I$89,3,0)*VLOOKUP('Données projet'!$B$11,Paramètres!$A$1:$I$89,5,0)</f>
        <v>347.4899999999999</v>
      </c>
      <c r="BF133" s="13">
        <f t="shared" ref="BF133:BF153" si="145">EXP(-1.0587+0.8836*LN(BE133)+0.284)</f>
        <v>81.045459877391451</v>
      </c>
      <c r="BG133" s="20">
        <f t="shared" si="115"/>
        <v>746.36592595312322</v>
      </c>
      <c r="BH133" s="59">
        <f t="shared" si="116"/>
        <v>1039.6992592864565</v>
      </c>
      <c r="BI133" s="59">
        <f ca="1">AVERAGE(OFFSET($BH$3,0,0,'Données projet'!$E$11+1,1))-AVERAGE(OFFSET($H$3,0,0,'Données projet'!$E$11+1,1))</f>
        <v>352.61091660077574</v>
      </c>
      <c r="BJ133" s="59">
        <f t="shared" ref="BJ133:BJ196" si="146">$BJ$3</f>
        <v>186.48649111821521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81.623700805181613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81.623700805181613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795.00000000000068</v>
      </c>
      <c r="O134" s="13">
        <f>N134*VLOOKUP('Données projet'!$B$9,Paramètres!$A$1:$I$89,3,0)*VLOOKUP('Données projet'!$B$9,Paramètres!$A$1:$I$89,5,0)</f>
        <v>372.06000000000029</v>
      </c>
      <c r="P134" s="13">
        <f t="shared" si="141"/>
        <v>86.088609967897526</v>
      </c>
      <c r="Q134" s="20">
        <f t="shared" si="108"/>
        <v>797.94216236075533</v>
      </c>
      <c r="R134" s="59">
        <f t="shared" si="109"/>
        <v>1091.2754956940887</v>
      </c>
      <c r="S134" s="59">
        <f ca="1">AVERAGE(OFFSET($R$3,0,0,'Données projet'!$E$9+1,1))-AVERAGE(OFFSET($H$3,0,0,'Données projet'!$E$9+1,1))</f>
        <v>379.12827535040157</v>
      </c>
      <c r="T134" s="59">
        <f t="shared" si="142"/>
        <v>317.29813413796956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46.827938182093675</v>
      </c>
      <c r="AA134" s="21">
        <f>EXP(-LN(2)/25)*AA133+(1-EXP(-LN(2)/25))/(LN(2)/25)*Calculateur!V134*Calculateur!X134*VLOOKUP('Données projet'!$B$9,Paramètres!$A$1:$I$89,3,0)*0.475*44/12</f>
        <v>2.7072592770827568</v>
      </c>
      <c r="AB134" s="21">
        <f>EXP(-LN(2)/2)*AB133+(1-EXP(-LN(2)/2))/(LN(2)/2)*V134*Y134*VLOOKUP('Données projet'!$B$9,Paramètres!$A$1:$I$89,3,0)*0.475*44/12</f>
        <v>2.7038959849650775E-16</v>
      </c>
      <c r="AC134" s="22">
        <f t="shared" si="111"/>
        <v>49.53519745917643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311.298</v>
      </c>
      <c r="AK134" s="13">
        <f t="shared" si="143"/>
        <v>73.539838278528748</v>
      </c>
      <c r="AL134" s="20">
        <f t="shared" si="112"/>
        <v>670.25923500177089</v>
      </c>
      <c r="AM134" s="59">
        <f t="shared" si="113"/>
        <v>963.59256833510426</v>
      </c>
      <c r="AN134" s="59">
        <f ca="1">AVERAGE(OFFSET($AM$3,0,0,'Données projet'!$E$10+1,1))-AVERAGE(OFFSET($H$3,0,0,'Données projet'!$E$10+1,1))</f>
        <v>392.48436003609055</v>
      </c>
      <c r="AO134" s="59">
        <f t="shared" si="144"/>
        <v>236.3312446580419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81.713544869617039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81.713544869617039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404.99999999999989</v>
      </c>
      <c r="BE134" s="13">
        <f>BD134*VLOOKUP('Données projet'!$B$11,Paramètres!$A$1:$I$89,3,0)*VLOOKUP('Données projet'!$B$11,Paramètres!$A$1:$I$89,5,0)</f>
        <v>347.4899999999999</v>
      </c>
      <c r="BF134" s="13">
        <f t="shared" si="145"/>
        <v>81.045459877391451</v>
      </c>
      <c r="BG134" s="20">
        <f t="shared" si="115"/>
        <v>746.36592595312322</v>
      </c>
      <c r="BH134" s="59">
        <f t="shared" si="116"/>
        <v>1039.6992592864565</v>
      </c>
      <c r="BI134" s="59">
        <f ca="1">AVERAGE(OFFSET($BH$3,0,0,'Données projet'!$E$11+1,1))-AVERAGE(OFFSET($H$3,0,0,'Données projet'!$E$11+1,1))</f>
        <v>352.61091660077574</v>
      </c>
      <c r="BJ134" s="59">
        <f t="shared" si="146"/>
        <v>186.48649111821521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80.023109817933573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80.023109817933573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795.00000000000068</v>
      </c>
      <c r="O135" s="13">
        <f>N135*VLOOKUP('Données projet'!$B$9,Paramètres!$A$1:$I$89,3,0)*VLOOKUP('Données projet'!$B$9,Paramètres!$A$1:$I$89,5,0)</f>
        <v>372.06000000000029</v>
      </c>
      <c r="P135" s="13">
        <f t="shared" si="141"/>
        <v>86.088609967897526</v>
      </c>
      <c r="Q135" s="20">
        <f t="shared" si="108"/>
        <v>797.94216236075533</v>
      </c>
      <c r="R135" s="59">
        <f t="shared" si="109"/>
        <v>1091.2754956940887</v>
      </c>
      <c r="S135" s="59">
        <f ca="1">AVERAGE(OFFSET($R$3,0,0,'Données projet'!$E$9+1,1))-AVERAGE(OFFSET($H$3,0,0,'Données projet'!$E$9+1,1))</f>
        <v>379.12827535040157</v>
      </c>
      <c r="T135" s="59">
        <f t="shared" si="142"/>
        <v>317.29813413796956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45.909670876564824</v>
      </c>
      <c r="AA135" s="21">
        <f>EXP(-LN(2)/25)*AA134+(1-EXP(-LN(2)/25))/(LN(2)/25)*Calculateur!V135*Calculateur!X135*VLOOKUP('Données projet'!$B$9,Paramètres!$A$1:$I$89,3,0)*0.475*44/12</f>
        <v>2.6332291297823511</v>
      </c>
      <c r="AB135" s="21">
        <f>EXP(-LN(2)/2)*AB134+(1-EXP(-LN(2)/2))/(LN(2)/2)*V135*Y135*VLOOKUP('Données projet'!$B$9,Paramètres!$A$1:$I$89,3,0)*0.475*44/12</f>
        <v>1.9119431865918854E-16</v>
      </c>
      <c r="AC135" s="22">
        <f t="shared" si="111"/>
        <v>48.542900006347175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311.298</v>
      </c>
      <c r="AK135" s="13">
        <f t="shared" si="143"/>
        <v>73.539838278528748</v>
      </c>
      <c r="AL135" s="20">
        <f t="shared" si="112"/>
        <v>670.25923500177089</v>
      </c>
      <c r="AM135" s="59">
        <f t="shared" si="113"/>
        <v>963.59256833510426</v>
      </c>
      <c r="AN135" s="59">
        <f ca="1">AVERAGE(OFFSET($AM$3,0,0,'Données projet'!$E$10+1,1))-AVERAGE(OFFSET($H$3,0,0,'Données projet'!$E$10+1,1))</f>
        <v>392.48436003609055</v>
      </c>
      <c r="AO135" s="59">
        <f t="shared" si="144"/>
        <v>236.3312446580419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80.111192095064894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80.111192095064894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404.99999999999989</v>
      </c>
      <c r="BE135" s="13">
        <f>BD135*VLOOKUP('Données projet'!$B$11,Paramètres!$A$1:$I$89,3,0)*VLOOKUP('Données projet'!$B$11,Paramètres!$A$1:$I$89,5,0)</f>
        <v>347.4899999999999</v>
      </c>
      <c r="BF135" s="13">
        <f t="shared" si="145"/>
        <v>81.045459877391451</v>
      </c>
      <c r="BG135" s="20">
        <f t="shared" si="115"/>
        <v>746.36592595312322</v>
      </c>
      <c r="BH135" s="59">
        <f t="shared" si="116"/>
        <v>1039.6992592864565</v>
      </c>
      <c r="BI135" s="59">
        <f ca="1">AVERAGE(OFFSET($BH$3,0,0,'Données projet'!$E$11+1,1))-AVERAGE(OFFSET($H$3,0,0,'Données projet'!$E$11+1,1))</f>
        <v>352.61091660077574</v>
      </c>
      <c r="BJ135" s="59">
        <f t="shared" si="146"/>
        <v>186.48649111821521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78.453905443681364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78.453905443681364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795.00000000000068</v>
      </c>
      <c r="O136" s="13">
        <f>N136*VLOOKUP('Données projet'!$B$9,Paramètres!$A$1:$I$89,3,0)*VLOOKUP('Données projet'!$B$9,Paramètres!$A$1:$I$89,5,0)</f>
        <v>372.06000000000029</v>
      </c>
      <c r="P136" s="13">
        <f t="shared" si="141"/>
        <v>86.088609967897526</v>
      </c>
      <c r="Q136" s="20">
        <f t="shared" si="108"/>
        <v>797.94216236075533</v>
      </c>
      <c r="R136" s="59">
        <f t="shared" si="109"/>
        <v>1091.2754956940887</v>
      </c>
      <c r="S136" s="59">
        <f ca="1">AVERAGE(OFFSET($R$3,0,0,'Données projet'!$E$9+1,1))-AVERAGE(OFFSET($H$3,0,0,'Données projet'!$E$9+1,1))</f>
        <v>379.12827535040157</v>
      </c>
      <c r="T136" s="59">
        <f t="shared" si="142"/>
        <v>317.29813413796956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45.009410232809643</v>
      </c>
      <c r="AA136" s="21">
        <f>EXP(-LN(2)/25)*AA135+(1-EXP(-LN(2)/25))/(LN(2)/25)*Calculateur!V136*Calculateur!X136*VLOOKUP('Données projet'!$B$9,Paramètres!$A$1:$I$89,3,0)*0.475*44/12</f>
        <v>2.5612233407529512</v>
      </c>
      <c r="AB136" s="21">
        <f>EXP(-LN(2)/2)*AB135+(1-EXP(-LN(2)/2))/(LN(2)/2)*V136*Y136*VLOOKUP('Données projet'!$B$9,Paramètres!$A$1:$I$89,3,0)*0.475*44/12</f>
        <v>1.3519479924825387E-16</v>
      </c>
      <c r="AC136" s="22">
        <f t="shared" si="111"/>
        <v>47.570633573562596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311.298</v>
      </c>
      <c r="AK136" s="13">
        <f t="shared" si="143"/>
        <v>73.539838278528748</v>
      </c>
      <c r="AL136" s="20">
        <f t="shared" si="112"/>
        <v>670.25923500177089</v>
      </c>
      <c r="AM136" s="59">
        <f t="shared" si="113"/>
        <v>963.59256833510426</v>
      </c>
      <c r="AN136" s="59">
        <f ca="1">AVERAGE(OFFSET($AM$3,0,0,'Données projet'!$E$10+1,1))-AVERAGE(OFFSET($H$3,0,0,'Données projet'!$E$10+1,1))</f>
        <v>392.48436003609055</v>
      </c>
      <c r="AO136" s="59">
        <f t="shared" si="144"/>
        <v>236.3312446580419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78.540260481083024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78.540260481083024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404.99999999999989</v>
      </c>
      <c r="BE136" s="13">
        <f>BD136*VLOOKUP('Données projet'!$B$11,Paramètres!$A$1:$I$89,3,0)*VLOOKUP('Données projet'!$B$11,Paramètres!$A$1:$I$89,5,0)</f>
        <v>347.4899999999999</v>
      </c>
      <c r="BF136" s="13">
        <f t="shared" si="145"/>
        <v>81.045459877391451</v>
      </c>
      <c r="BG136" s="20">
        <f t="shared" si="115"/>
        <v>746.36592595312322</v>
      </c>
      <c r="BH136" s="59">
        <f t="shared" si="116"/>
        <v>1039.6992592864565</v>
      </c>
      <c r="BI136" s="59">
        <f ca="1">AVERAGE(OFFSET($BH$3,0,0,'Données projet'!$E$11+1,1))-AVERAGE(OFFSET($H$3,0,0,'Données projet'!$E$11+1,1))</f>
        <v>352.61091660077574</v>
      </c>
      <c r="BJ136" s="59">
        <f t="shared" si="146"/>
        <v>186.48649111821521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76.915472210088083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76.915472210088083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795.00000000000068</v>
      </c>
      <c r="O137" s="13">
        <f>N137*VLOOKUP('Données projet'!$B$9,Paramètres!$A$1:$I$89,3,0)*VLOOKUP('Données projet'!$B$9,Paramètres!$A$1:$I$89,5,0)</f>
        <v>372.06000000000029</v>
      </c>
      <c r="P137" s="13">
        <f t="shared" si="141"/>
        <v>86.088609967897526</v>
      </c>
      <c r="Q137" s="20">
        <f t="shared" si="108"/>
        <v>797.94216236075533</v>
      </c>
      <c r="R137" s="59">
        <f t="shared" si="109"/>
        <v>1091.2754956940887</v>
      </c>
      <c r="S137" s="59">
        <f ca="1">AVERAGE(OFFSET($R$3,0,0,'Données projet'!$E$9+1,1))-AVERAGE(OFFSET($H$3,0,0,'Données projet'!$E$9+1,1))</f>
        <v>379.12827535040157</v>
      </c>
      <c r="T137" s="59">
        <f t="shared" si="142"/>
        <v>317.29813413796956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44.126803151173725</v>
      </c>
      <c r="AA137" s="21">
        <f>EXP(-LN(2)/25)*AA136+(1-EXP(-LN(2)/25))/(LN(2)/25)*Calculateur!V137*Calculateur!X137*VLOOKUP('Données projet'!$B$9,Paramètres!$A$1:$I$89,3,0)*0.475*44/12</f>
        <v>2.4911865538111799</v>
      </c>
      <c r="AB137" s="21">
        <f>EXP(-LN(2)/2)*AB136+(1-EXP(-LN(2)/2))/(LN(2)/2)*V137*Y137*VLOOKUP('Données projet'!$B$9,Paramètres!$A$1:$I$89,3,0)*0.475*44/12</f>
        <v>9.5597159329594272E-17</v>
      </c>
      <c r="AC137" s="22">
        <f t="shared" si="111"/>
        <v>46.617989704984907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311.298</v>
      </c>
      <c r="AK137" s="13">
        <f t="shared" si="143"/>
        <v>73.539838278528748</v>
      </c>
      <c r="AL137" s="20">
        <f t="shared" si="112"/>
        <v>670.25923500177089</v>
      </c>
      <c r="AM137" s="59">
        <f t="shared" si="113"/>
        <v>963.59256833510426</v>
      </c>
      <c r="AN137" s="59">
        <f ca="1">AVERAGE(OFFSET($AM$3,0,0,'Données projet'!$E$10+1,1))-AVERAGE(OFFSET($H$3,0,0,'Données projet'!$E$10+1,1))</f>
        <v>392.48436003609055</v>
      </c>
      <c r="AO137" s="59">
        <f t="shared" si="144"/>
        <v>236.3312446580419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77.000133877877673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77.000133877877673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404.99999999999989</v>
      </c>
      <c r="BE137" s="13">
        <f>BD137*VLOOKUP('Données projet'!$B$11,Paramètres!$A$1:$I$89,3,0)*VLOOKUP('Données projet'!$B$11,Paramètres!$A$1:$I$89,5,0)</f>
        <v>347.4899999999999</v>
      </c>
      <c r="BF137" s="13">
        <f t="shared" si="145"/>
        <v>81.045459877391451</v>
      </c>
      <c r="BG137" s="20">
        <f t="shared" si="115"/>
        <v>746.36592595312322</v>
      </c>
      <c r="BH137" s="59">
        <f t="shared" si="116"/>
        <v>1039.6992592864565</v>
      </c>
      <c r="BI137" s="59">
        <f ca="1">AVERAGE(OFFSET($BH$3,0,0,'Données projet'!$E$11+1,1))-AVERAGE(OFFSET($H$3,0,0,'Données projet'!$E$11+1,1))</f>
        <v>352.61091660077574</v>
      </c>
      <c r="BJ137" s="59">
        <f t="shared" si="146"/>
        <v>186.48649111821521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75.407206713853952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75.407206713853952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795.00000000000068</v>
      </c>
      <c r="O138" s="13">
        <f>N138*VLOOKUP('Données projet'!$B$9,Paramètres!$A$1:$I$89,3,0)*VLOOKUP('Données projet'!$B$9,Paramètres!$A$1:$I$89,5,0)</f>
        <v>372.06000000000029</v>
      </c>
      <c r="P138" s="13">
        <f t="shared" si="141"/>
        <v>86.088609967897526</v>
      </c>
      <c r="Q138" s="20">
        <f t="shared" si="108"/>
        <v>797.94216236075533</v>
      </c>
      <c r="R138" s="59">
        <f t="shared" si="109"/>
        <v>1091.2754956940887</v>
      </c>
      <c r="S138" s="59">
        <f ca="1">AVERAGE(OFFSET($R$3,0,0,'Données projet'!$E$9+1,1))-AVERAGE(OFFSET($H$3,0,0,'Données projet'!$E$9+1,1))</f>
        <v>379.12827535040157</v>
      </c>
      <c r="T138" s="59">
        <f t="shared" si="142"/>
        <v>317.29813413796956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43.261503456071523</v>
      </c>
      <c r="AA138" s="21">
        <f>EXP(-LN(2)/25)*AA137+(1-EXP(-LN(2)/25))/(LN(2)/25)*Calculateur!V138*Calculateur!X138*VLOOKUP('Données projet'!$B$9,Paramètres!$A$1:$I$89,3,0)*0.475*44/12</f>
        <v>2.4230649264914059</v>
      </c>
      <c r="AB138" s="21">
        <f>EXP(-LN(2)/2)*AB137+(1-EXP(-LN(2)/2))/(LN(2)/2)*V138*Y138*VLOOKUP('Données projet'!$B$9,Paramètres!$A$1:$I$89,3,0)*0.475*44/12</f>
        <v>6.7597399624126937E-17</v>
      </c>
      <c r="AC138" s="22">
        <f t="shared" si="111"/>
        <v>45.684568382562929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311.298</v>
      </c>
      <c r="AK138" s="13">
        <f t="shared" si="143"/>
        <v>73.539838278528748</v>
      </c>
      <c r="AL138" s="20">
        <f t="shared" si="112"/>
        <v>670.25923500177089</v>
      </c>
      <c r="AM138" s="59">
        <f t="shared" si="113"/>
        <v>963.59256833510426</v>
      </c>
      <c r="AN138" s="59">
        <f ca="1">AVERAGE(OFFSET($AM$3,0,0,'Données projet'!$E$10+1,1))-AVERAGE(OFFSET($H$3,0,0,'Données projet'!$E$10+1,1))</f>
        <v>392.48436003609055</v>
      </c>
      <c r="AO138" s="59">
        <f t="shared" si="144"/>
        <v>236.3312446580419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75.490208217976701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75.490208217976701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404.99999999999989</v>
      </c>
      <c r="BE138" s="13">
        <f>BD138*VLOOKUP('Données projet'!$B$11,Paramètres!$A$1:$I$89,3,0)*VLOOKUP('Données projet'!$B$11,Paramètres!$A$1:$I$89,5,0)</f>
        <v>347.4899999999999</v>
      </c>
      <c r="BF138" s="13">
        <f t="shared" si="145"/>
        <v>81.045459877391451</v>
      </c>
      <c r="BG138" s="20">
        <f t="shared" si="115"/>
        <v>746.36592595312322</v>
      </c>
      <c r="BH138" s="59">
        <f t="shared" si="116"/>
        <v>1039.6992592864565</v>
      </c>
      <c r="BI138" s="59">
        <f ca="1">AVERAGE(OFFSET($BH$3,0,0,'Données projet'!$E$11+1,1))-AVERAGE(OFFSET($H$3,0,0,'Données projet'!$E$11+1,1))</f>
        <v>352.61091660077574</v>
      </c>
      <c r="BJ138" s="59">
        <f t="shared" si="146"/>
        <v>186.48649111821521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73.928517384049854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73.928517384049854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795.00000000000068</v>
      </c>
      <c r="O139" s="13">
        <f>N139*VLOOKUP('Données projet'!$B$9,Paramètres!$A$1:$I$89,3,0)*VLOOKUP('Données projet'!$B$9,Paramètres!$A$1:$I$89,5,0)</f>
        <v>372.06000000000029</v>
      </c>
      <c r="P139" s="13">
        <f t="shared" si="141"/>
        <v>86.088609967897526</v>
      </c>
      <c r="Q139" s="20">
        <f t="shared" si="108"/>
        <v>797.94216236075533</v>
      </c>
      <c r="R139" s="59">
        <f t="shared" si="109"/>
        <v>1091.2754956940887</v>
      </c>
      <c r="S139" s="59">
        <f ca="1">AVERAGE(OFFSET($R$3,0,0,'Données projet'!$E$9+1,1))-AVERAGE(OFFSET($H$3,0,0,'Données projet'!$E$9+1,1))</f>
        <v>379.12827535040157</v>
      </c>
      <c r="T139" s="59">
        <f t="shared" si="142"/>
        <v>317.29813413796956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42.413171760209579</v>
      </c>
      <c r="AA139" s="21">
        <f>EXP(-LN(2)/25)*AA138+(1-EXP(-LN(2)/25))/(LN(2)/25)*Calculateur!V139*Calculateur!X139*VLOOKUP('Données projet'!$B$9,Paramètres!$A$1:$I$89,3,0)*0.475*44/12</f>
        <v>2.3568060886530517</v>
      </c>
      <c r="AB139" s="21">
        <f>EXP(-LN(2)/2)*AB138+(1-EXP(-LN(2)/2))/(LN(2)/2)*V139*Y139*VLOOKUP('Données projet'!$B$9,Paramètres!$A$1:$I$89,3,0)*0.475*44/12</f>
        <v>4.7798579664797136E-17</v>
      </c>
      <c r="AC139" s="22">
        <f t="shared" si="111"/>
        <v>44.769977848862631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311.298</v>
      </c>
      <c r="AK139" s="13">
        <f t="shared" si="143"/>
        <v>73.539838278528748</v>
      </c>
      <c r="AL139" s="20">
        <f t="shared" si="112"/>
        <v>670.25923500177089</v>
      </c>
      <c r="AM139" s="59">
        <f t="shared" si="113"/>
        <v>963.59256833510426</v>
      </c>
      <c r="AN139" s="59">
        <f ca="1">AVERAGE(OFFSET($AM$3,0,0,'Données projet'!$E$10+1,1))-AVERAGE(OFFSET($H$3,0,0,'Données projet'!$E$10+1,1))</f>
        <v>392.48436003609055</v>
      </c>
      <c r="AO139" s="59">
        <f t="shared" si="144"/>
        <v>236.3312446580419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74.009891279302678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74.009891279302678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404.99999999999989</v>
      </c>
      <c r="BE139" s="13">
        <f>BD139*VLOOKUP('Données projet'!$B$11,Paramètres!$A$1:$I$89,3,0)*VLOOKUP('Données projet'!$B$11,Paramètres!$A$1:$I$89,5,0)</f>
        <v>347.4899999999999</v>
      </c>
      <c r="BF139" s="13">
        <f t="shared" si="145"/>
        <v>81.045459877391451</v>
      </c>
      <c r="BG139" s="20">
        <f t="shared" si="115"/>
        <v>746.36592595312322</v>
      </c>
      <c r="BH139" s="59">
        <f t="shared" si="116"/>
        <v>1039.6992592864565</v>
      </c>
      <c r="BI139" s="59">
        <f ca="1">AVERAGE(OFFSET($BH$3,0,0,'Données projet'!$E$11+1,1))-AVERAGE(OFFSET($H$3,0,0,'Données projet'!$E$11+1,1))</f>
        <v>352.61091660077574</v>
      </c>
      <c r="BJ139" s="59">
        <f t="shared" si="146"/>
        <v>186.48649111821521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72.478824250091776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72.478824250091776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795.00000000000068</v>
      </c>
      <c r="O140" s="13">
        <f>N140*VLOOKUP('Données projet'!$B$9,Paramètres!$A$1:$I$89,3,0)*VLOOKUP('Données projet'!$B$9,Paramètres!$A$1:$I$89,5,0)</f>
        <v>372.06000000000029</v>
      </c>
      <c r="P140" s="13">
        <f t="shared" si="141"/>
        <v>86.088609967897526</v>
      </c>
      <c r="Q140" s="20">
        <f t="shared" si="108"/>
        <v>797.94216236075533</v>
      </c>
      <c r="R140" s="59">
        <f t="shared" si="109"/>
        <v>1091.2754956940887</v>
      </c>
      <c r="S140" s="59">
        <f ca="1">AVERAGE(OFFSET($R$3,0,0,'Données projet'!$E$9+1,1))-AVERAGE(OFFSET($H$3,0,0,'Données projet'!$E$9+1,1))</f>
        <v>379.12827535040157</v>
      </c>
      <c r="T140" s="59">
        <f t="shared" si="142"/>
        <v>317.29813413796956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41.581475331472241</v>
      </c>
      <c r="AA140" s="21">
        <f>EXP(-LN(2)/25)*AA139+(1-EXP(-LN(2)/25))/(LN(2)/25)*Calculateur!V140*Calculateur!X140*VLOOKUP('Données projet'!$B$9,Paramètres!$A$1:$I$89,3,0)*0.475*44/12</f>
        <v>2.2923591022197884</v>
      </c>
      <c r="AB140" s="21">
        <f>EXP(-LN(2)/2)*AB139+(1-EXP(-LN(2)/2))/(LN(2)/2)*V140*Y140*VLOOKUP('Données projet'!$B$9,Paramètres!$A$1:$I$89,3,0)*0.475*44/12</f>
        <v>3.3798699812063468E-17</v>
      </c>
      <c r="AC140" s="22">
        <f t="shared" si="111"/>
        <v>43.873834433692032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311.298</v>
      </c>
      <c r="AK140" s="13">
        <f t="shared" si="143"/>
        <v>73.539838278528748</v>
      </c>
      <c r="AL140" s="20">
        <f t="shared" si="112"/>
        <v>670.25923500177089</v>
      </c>
      <c r="AM140" s="59">
        <f t="shared" si="113"/>
        <v>963.59256833510426</v>
      </c>
      <c r="AN140" s="59">
        <f ca="1">AVERAGE(OFFSET($AM$3,0,0,'Données projet'!$E$10+1,1))-AVERAGE(OFFSET($H$3,0,0,'Données projet'!$E$10+1,1))</f>
        <v>392.48436003609055</v>
      </c>
      <c r="AO140" s="59">
        <f t="shared" si="144"/>
        <v>236.3312446580419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72.558602452891876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72.558602452891876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404.99999999999989</v>
      </c>
      <c r="BE140" s="13">
        <f>BD140*VLOOKUP('Données projet'!$B$11,Paramètres!$A$1:$I$89,3,0)*VLOOKUP('Données projet'!$B$11,Paramètres!$A$1:$I$89,5,0)</f>
        <v>347.4899999999999</v>
      </c>
      <c r="BF140" s="13">
        <f t="shared" si="145"/>
        <v>81.045459877391451</v>
      </c>
      <c r="BG140" s="20">
        <f t="shared" si="115"/>
        <v>746.36592595312322</v>
      </c>
      <c r="BH140" s="59">
        <f t="shared" si="116"/>
        <v>1039.6992592864565</v>
      </c>
      <c r="BI140" s="59">
        <f ca="1">AVERAGE(OFFSET($BH$3,0,0,'Données projet'!$E$11+1,1))-AVERAGE(OFFSET($H$3,0,0,'Données projet'!$E$11+1,1))</f>
        <v>352.61091660077574</v>
      </c>
      <c r="BJ140" s="59">
        <f t="shared" si="146"/>
        <v>186.48649111821521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71.057558714265113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71.057558714265113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795.00000000000068</v>
      </c>
      <c r="O141" s="13">
        <f>N141*VLOOKUP('Données projet'!$B$9,Paramètres!$A$1:$I$89,3,0)*VLOOKUP('Données projet'!$B$9,Paramètres!$A$1:$I$89,5,0)</f>
        <v>372.06000000000029</v>
      </c>
      <c r="P141" s="13">
        <f t="shared" si="141"/>
        <v>86.088609967897526</v>
      </c>
      <c r="Q141" s="20">
        <f t="shared" si="108"/>
        <v>797.94216236075533</v>
      </c>
      <c r="R141" s="59">
        <f t="shared" si="109"/>
        <v>1091.2754956940887</v>
      </c>
      <c r="S141" s="59">
        <f ca="1">AVERAGE(OFFSET($R$3,0,0,'Données projet'!$E$9+1,1))-AVERAGE(OFFSET($H$3,0,0,'Données projet'!$E$9+1,1))</f>
        <v>379.12827535040157</v>
      </c>
      <c r="T141" s="59">
        <f t="shared" si="142"/>
        <v>317.29813413796956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40.766087962417714</v>
      </c>
      <c r="AA141" s="21">
        <f>EXP(-LN(2)/25)*AA140+(1-EXP(-LN(2)/25))/(LN(2)/25)*Calculateur!V141*Calculateur!X141*VLOOKUP('Données projet'!$B$9,Paramètres!$A$1:$I$89,3,0)*0.475*44/12</f>
        <v>2.2296744220196625</v>
      </c>
      <c r="AB141" s="21">
        <f>EXP(-LN(2)/2)*AB140+(1-EXP(-LN(2)/2))/(LN(2)/2)*V141*Y141*VLOOKUP('Données projet'!$B$9,Paramètres!$A$1:$I$89,3,0)*0.475*44/12</f>
        <v>2.3899289832398568E-17</v>
      </c>
      <c r="AC141" s="22">
        <f t="shared" si="111"/>
        <v>42.995762384437377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311.298</v>
      </c>
      <c r="AK141" s="13">
        <f t="shared" si="143"/>
        <v>73.539838278528748</v>
      </c>
      <c r="AL141" s="20">
        <f t="shared" si="112"/>
        <v>670.25923500177089</v>
      </c>
      <c r="AM141" s="59">
        <f t="shared" si="113"/>
        <v>963.59256833510426</v>
      </c>
      <c r="AN141" s="59">
        <f ca="1">AVERAGE(OFFSET($AM$3,0,0,'Données projet'!$E$10+1,1))-AVERAGE(OFFSET($H$3,0,0,'Données projet'!$E$10+1,1))</f>
        <v>392.48436003609055</v>
      </c>
      <c r="AO141" s="59">
        <f t="shared" si="144"/>
        <v>236.3312446580419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71.135772515168213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71.135772515168213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404.99999999999989</v>
      </c>
      <c r="BE141" s="13">
        <f>BD141*VLOOKUP('Données projet'!$B$11,Paramètres!$A$1:$I$89,3,0)*VLOOKUP('Données projet'!$B$11,Paramètres!$A$1:$I$89,5,0)</f>
        <v>347.4899999999999</v>
      </c>
      <c r="BF141" s="13">
        <f t="shared" si="145"/>
        <v>81.045459877391451</v>
      </c>
      <c r="BG141" s="20">
        <f t="shared" si="115"/>
        <v>746.36592595312322</v>
      </c>
      <c r="BH141" s="59">
        <f t="shared" si="116"/>
        <v>1039.6992592864565</v>
      </c>
      <c r="BI141" s="59">
        <f ca="1">AVERAGE(OFFSET($BH$3,0,0,'Données projet'!$E$11+1,1))-AVERAGE(OFFSET($H$3,0,0,'Données projet'!$E$11+1,1))</f>
        <v>352.61091660077574</v>
      </c>
      <c r="BJ141" s="59">
        <f t="shared" si="146"/>
        <v>186.48649111821521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69.664163328709634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69.664163328709634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795.00000000000068</v>
      </c>
      <c r="O142" s="13">
        <f>N142*VLOOKUP('Données projet'!$B$9,Paramètres!$A$1:$I$89,3,0)*VLOOKUP('Données projet'!$B$9,Paramètres!$A$1:$I$89,5,0)</f>
        <v>372.06000000000029</v>
      </c>
      <c r="P142" s="13">
        <f t="shared" si="141"/>
        <v>86.088609967897526</v>
      </c>
      <c r="Q142" s="20">
        <f t="shared" si="108"/>
        <v>797.94216236075533</v>
      </c>
      <c r="R142" s="59">
        <f t="shared" si="109"/>
        <v>1091.2754956940887</v>
      </c>
      <c r="S142" s="59">
        <f ca="1">AVERAGE(OFFSET($R$3,0,0,'Données projet'!$E$9+1,1))-AVERAGE(OFFSET($H$3,0,0,'Données projet'!$E$9+1,1))</f>
        <v>379.12827535040157</v>
      </c>
      <c r="T142" s="59">
        <f t="shared" si="142"/>
        <v>317.29813413796956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39.96668984233316</v>
      </c>
      <c r="AA142" s="21">
        <f>EXP(-LN(2)/25)*AA141+(1-EXP(-LN(2)/25))/(LN(2)/25)*Calculateur!V142*Calculateur!X142*VLOOKUP('Données projet'!$B$9,Paramètres!$A$1:$I$89,3,0)*0.475*44/12</f>
        <v>2.1687038576960531</v>
      </c>
      <c r="AB142" s="21">
        <f>EXP(-LN(2)/2)*AB141+(1-EXP(-LN(2)/2))/(LN(2)/2)*V142*Y142*VLOOKUP('Données projet'!$B$9,Paramètres!$A$1:$I$89,3,0)*0.475*44/12</f>
        <v>1.6899349906031734E-17</v>
      </c>
      <c r="AC142" s="22">
        <f t="shared" si="111"/>
        <v>42.135393700029212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311.298</v>
      </c>
      <c r="AK142" s="13">
        <f t="shared" si="143"/>
        <v>73.539838278528748</v>
      </c>
      <c r="AL142" s="20">
        <f t="shared" si="112"/>
        <v>670.25923500177089</v>
      </c>
      <c r="AM142" s="59">
        <f t="shared" si="113"/>
        <v>963.59256833510426</v>
      </c>
      <c r="AN142" s="59">
        <f ca="1">AVERAGE(OFFSET($AM$3,0,0,'Données projet'!$E$10+1,1))-AVERAGE(OFFSET($H$3,0,0,'Données projet'!$E$10+1,1))</f>
        <v>392.48436003609055</v>
      </c>
      <c r="AO142" s="59">
        <f t="shared" si="144"/>
        <v>236.3312446580419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69.740843404682735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69.740843404682735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404.99999999999989</v>
      </c>
      <c r="BE142" s="13">
        <f>BD142*VLOOKUP('Données projet'!$B$11,Paramètres!$A$1:$I$89,3,0)*VLOOKUP('Données projet'!$B$11,Paramètres!$A$1:$I$89,5,0)</f>
        <v>347.4899999999999</v>
      </c>
      <c r="BF142" s="13">
        <f t="shared" si="145"/>
        <v>81.045459877391451</v>
      </c>
      <c r="BG142" s="20">
        <f t="shared" si="115"/>
        <v>746.36592595312322</v>
      </c>
      <c r="BH142" s="59">
        <f t="shared" si="116"/>
        <v>1039.6992592864565</v>
      </c>
      <c r="BI142" s="59">
        <f ca="1">AVERAGE(OFFSET($BH$3,0,0,'Données projet'!$E$11+1,1))-AVERAGE(OFFSET($H$3,0,0,'Données projet'!$E$11+1,1))</f>
        <v>352.61091660077574</v>
      </c>
      <c r="BJ142" s="59">
        <f t="shared" si="146"/>
        <v>186.48649111821521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68.298091576777637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68.298091576777637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795.00000000000068</v>
      </c>
      <c r="O143" s="13">
        <f>N143*VLOOKUP('Données projet'!$B$9,Paramètres!$A$1:$I$89,3,0)*VLOOKUP('Données projet'!$B$9,Paramètres!$A$1:$I$89,5,0)</f>
        <v>372.06000000000029</v>
      </c>
      <c r="P143" s="13">
        <f t="shared" si="141"/>
        <v>86.088609967897526</v>
      </c>
      <c r="Q143" s="20">
        <f t="shared" si="108"/>
        <v>797.94216236075533</v>
      </c>
      <c r="R143" s="59">
        <f t="shared" si="109"/>
        <v>1091.2754956940887</v>
      </c>
      <c r="S143" s="59">
        <f ca="1">AVERAGE(OFFSET($R$3,0,0,'Données projet'!$E$9+1,1))-AVERAGE(OFFSET($H$3,0,0,'Données projet'!$E$9+1,1))</f>
        <v>379.12827535040157</v>
      </c>
      <c r="T143" s="59">
        <f t="shared" si="142"/>
        <v>317.29813413796956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39.182967431798758</v>
      </c>
      <c r="AA143" s="21">
        <f>EXP(-LN(2)/25)*AA142+(1-EXP(-LN(2)/25))/(LN(2)/25)*Calculateur!V143*Calculateur!X143*VLOOKUP('Données projet'!$B$9,Paramètres!$A$1:$I$89,3,0)*0.475*44/12</f>
        <v>2.1094005366601754</v>
      </c>
      <c r="AB143" s="21">
        <f>EXP(-LN(2)/2)*AB142+(1-EXP(-LN(2)/2))/(LN(2)/2)*V143*Y143*VLOOKUP('Données projet'!$B$9,Paramètres!$A$1:$I$89,3,0)*0.475*44/12</f>
        <v>1.1949644916199284E-17</v>
      </c>
      <c r="AC143" s="22">
        <f t="shared" si="111"/>
        <v>41.292367968458933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311.298</v>
      </c>
      <c r="AK143" s="13">
        <f t="shared" si="143"/>
        <v>73.539838278528748</v>
      </c>
      <c r="AL143" s="20">
        <f t="shared" si="112"/>
        <v>670.25923500177089</v>
      </c>
      <c r="AM143" s="59">
        <f t="shared" si="113"/>
        <v>963.59256833510426</v>
      </c>
      <c r="AN143" s="59">
        <f ca="1">AVERAGE(OFFSET($AM$3,0,0,'Données projet'!$E$10+1,1))-AVERAGE(OFFSET($H$3,0,0,'Données projet'!$E$10+1,1))</f>
        <v>392.48436003609055</v>
      </c>
      <c r="AO143" s="59">
        <f t="shared" si="144"/>
        <v>236.3312446580419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68.373268003231132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68.373268003231132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404.99999999999989</v>
      </c>
      <c r="BE143" s="13">
        <f>BD143*VLOOKUP('Données projet'!$B$11,Paramètres!$A$1:$I$89,3,0)*VLOOKUP('Données projet'!$B$11,Paramètres!$A$1:$I$89,5,0)</f>
        <v>347.4899999999999</v>
      </c>
      <c r="BF143" s="13">
        <f t="shared" si="145"/>
        <v>81.045459877391451</v>
      </c>
      <c r="BG143" s="20">
        <f t="shared" si="115"/>
        <v>746.36592595312322</v>
      </c>
      <c r="BH143" s="59">
        <f t="shared" si="116"/>
        <v>1039.6992592864565</v>
      </c>
      <c r="BI143" s="59">
        <f ca="1">AVERAGE(OFFSET($BH$3,0,0,'Données projet'!$E$11+1,1))-AVERAGE(OFFSET($H$3,0,0,'Données projet'!$E$11+1,1))</f>
        <v>352.61091660077574</v>
      </c>
      <c r="BJ143" s="59">
        <f t="shared" si="146"/>
        <v>186.48649111821521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66.958807658679532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66.958807658679532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795.00000000000068</v>
      </c>
      <c r="O144" s="13">
        <f>N144*VLOOKUP('Données projet'!$B$9,Paramètres!$A$1:$I$89,3,0)*VLOOKUP('Données projet'!$B$9,Paramètres!$A$1:$I$89,5,0)</f>
        <v>372.06000000000029</v>
      </c>
      <c r="P144" s="13">
        <f t="shared" si="141"/>
        <v>86.088609967897526</v>
      </c>
      <c r="Q144" s="20">
        <f t="shared" si="108"/>
        <v>797.94216236075533</v>
      </c>
      <c r="R144" s="59">
        <f t="shared" si="109"/>
        <v>1091.2754956940887</v>
      </c>
      <c r="S144" s="59">
        <f ca="1">AVERAGE(OFFSET($R$3,0,0,'Données projet'!$E$9+1,1))-AVERAGE(OFFSET($H$3,0,0,'Données projet'!$E$9+1,1))</f>
        <v>379.12827535040157</v>
      </c>
      <c r="T144" s="59">
        <f t="shared" si="142"/>
        <v>317.29813413796956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38.414613339711465</v>
      </c>
      <c r="AA144" s="21">
        <f>EXP(-LN(2)/25)*AA143+(1-EXP(-LN(2)/25))/(LN(2)/25)*Calculateur!V144*Calculateur!X144*VLOOKUP('Données projet'!$B$9,Paramètres!$A$1:$I$89,3,0)*0.475*44/12</f>
        <v>2.0517188680566498</v>
      </c>
      <c r="AB144" s="21">
        <f>EXP(-LN(2)/2)*AB143+(1-EXP(-LN(2)/2))/(LN(2)/2)*V144*Y144*VLOOKUP('Données projet'!$B$9,Paramètres!$A$1:$I$89,3,0)*0.475*44/12</f>
        <v>8.4496749530158671E-18</v>
      </c>
      <c r="AC144" s="22">
        <f t="shared" si="111"/>
        <v>40.466332207768119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311.298</v>
      </c>
      <c r="AK144" s="13">
        <f t="shared" si="143"/>
        <v>73.539838278528748</v>
      </c>
      <c r="AL144" s="20">
        <f t="shared" si="112"/>
        <v>670.25923500177089</v>
      </c>
      <c r="AM144" s="59">
        <f t="shared" si="113"/>
        <v>963.59256833510426</v>
      </c>
      <c r="AN144" s="59">
        <f ca="1">AVERAGE(OFFSET($AM$3,0,0,'Données projet'!$E$10+1,1))-AVERAGE(OFFSET($H$3,0,0,'Données projet'!$E$10+1,1))</f>
        <v>392.48436003609055</v>
      </c>
      <c r="AO144" s="59">
        <f t="shared" si="144"/>
        <v>236.3312446580419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67.032509921263369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67.032509921263369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404.99999999999989</v>
      </c>
      <c r="BE144" s="13">
        <f>BD144*VLOOKUP('Données projet'!$B$11,Paramètres!$A$1:$I$89,3,0)*VLOOKUP('Données projet'!$B$11,Paramètres!$A$1:$I$89,5,0)</f>
        <v>347.4899999999999</v>
      </c>
      <c r="BF144" s="13">
        <f t="shared" si="145"/>
        <v>81.045459877391451</v>
      </c>
      <c r="BG144" s="20">
        <f t="shared" si="115"/>
        <v>746.36592595312322</v>
      </c>
      <c r="BH144" s="59">
        <f t="shared" si="116"/>
        <v>1039.6992592864565</v>
      </c>
      <c r="BI144" s="59">
        <f ca="1">AVERAGE(OFFSET($BH$3,0,0,'Données projet'!$E$11+1,1))-AVERAGE(OFFSET($H$3,0,0,'Données projet'!$E$11+1,1))</f>
        <v>352.61091660077574</v>
      </c>
      <c r="BJ144" s="59">
        <f t="shared" si="146"/>
        <v>186.48649111821521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65.645786281332803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65.645786281332803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795.00000000000068</v>
      </c>
      <c r="O145" s="13">
        <f>N145*VLOOKUP('Données projet'!$B$9,Paramètres!$A$1:$I$89,3,0)*VLOOKUP('Données projet'!$B$9,Paramètres!$A$1:$I$89,5,0)</f>
        <v>372.06000000000029</v>
      </c>
      <c r="P145" s="13">
        <f t="shared" si="141"/>
        <v>86.088609967897526</v>
      </c>
      <c r="Q145" s="20">
        <f t="shared" si="108"/>
        <v>797.94216236075533</v>
      </c>
      <c r="R145" s="59">
        <f t="shared" si="109"/>
        <v>1091.2754956940887</v>
      </c>
      <c r="S145" s="59">
        <f ca="1">AVERAGE(OFFSET($R$3,0,0,'Données projet'!$E$9+1,1))-AVERAGE(OFFSET($H$3,0,0,'Données projet'!$E$9+1,1))</f>
        <v>379.12827535040157</v>
      </c>
      <c r="T145" s="59">
        <f t="shared" si="142"/>
        <v>317.29813413796956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37.661326202720282</v>
      </c>
      <c r="AA145" s="21">
        <f>EXP(-LN(2)/25)*AA144+(1-EXP(-LN(2)/25))/(LN(2)/25)*Calculateur!V145*Calculateur!X145*VLOOKUP('Données projet'!$B$9,Paramètres!$A$1:$I$89,3,0)*0.475*44/12</f>
        <v>1.9956145077144347</v>
      </c>
      <c r="AB145" s="21">
        <f>EXP(-LN(2)/2)*AB144+(1-EXP(-LN(2)/2))/(LN(2)/2)*V145*Y145*VLOOKUP('Données projet'!$B$9,Paramètres!$A$1:$I$89,3,0)*0.475*44/12</f>
        <v>5.974822458099642E-18</v>
      </c>
      <c r="AC145" s="22">
        <f t="shared" si="111"/>
        <v>39.656940710434718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311.298</v>
      </c>
      <c r="AK145" s="13">
        <f t="shared" si="143"/>
        <v>73.539838278528748</v>
      </c>
      <c r="AL145" s="20">
        <f t="shared" si="112"/>
        <v>670.25923500177089</v>
      </c>
      <c r="AM145" s="59">
        <f t="shared" si="113"/>
        <v>963.59256833510426</v>
      </c>
      <c r="AN145" s="59">
        <f ca="1">AVERAGE(OFFSET($AM$3,0,0,'Données projet'!$E$10+1,1))-AVERAGE(OFFSET($H$3,0,0,'Données projet'!$E$10+1,1))</f>
        <v>392.48436003609055</v>
      </c>
      <c r="AO145" s="59">
        <f t="shared" si="144"/>
        <v>236.3312446580419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65.718043287501303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65.718043287501303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404.99999999999989</v>
      </c>
      <c r="BE145" s="13">
        <f>BD145*VLOOKUP('Données projet'!$B$11,Paramètres!$A$1:$I$89,3,0)*VLOOKUP('Données projet'!$B$11,Paramètres!$A$1:$I$89,5,0)</f>
        <v>347.4899999999999</v>
      </c>
      <c r="BF145" s="13">
        <f t="shared" si="145"/>
        <v>81.045459877391451</v>
      </c>
      <c r="BG145" s="20">
        <f t="shared" si="115"/>
        <v>746.36592595312322</v>
      </c>
      <c r="BH145" s="59">
        <f t="shared" si="116"/>
        <v>1039.6992592864565</v>
      </c>
      <c r="BI145" s="59">
        <f ca="1">AVERAGE(OFFSET($BH$3,0,0,'Données projet'!$E$11+1,1))-AVERAGE(OFFSET($H$3,0,0,'Données projet'!$E$11+1,1))</f>
        <v>352.61091660077574</v>
      </c>
      <c r="BJ145" s="59">
        <f t="shared" si="146"/>
        <v>186.48649111821521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64.35851245233188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64.35851245233188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795.00000000000068</v>
      </c>
      <c r="O146" s="13">
        <f>N146*VLOOKUP('Données projet'!$B$9,Paramètres!$A$1:$I$89,3,0)*VLOOKUP('Données projet'!$B$9,Paramètres!$A$1:$I$89,5,0)</f>
        <v>372.06000000000029</v>
      </c>
      <c r="P146" s="13">
        <f t="shared" si="141"/>
        <v>86.088609967897526</v>
      </c>
      <c r="Q146" s="20">
        <f t="shared" si="108"/>
        <v>797.94216236075533</v>
      </c>
      <c r="R146" s="59">
        <f t="shared" si="109"/>
        <v>1091.2754956940887</v>
      </c>
      <c r="S146" s="59">
        <f ca="1">AVERAGE(OFFSET($R$3,0,0,'Données projet'!$E$9+1,1))-AVERAGE(OFFSET($H$3,0,0,'Données projet'!$E$9+1,1))</f>
        <v>379.12827535040157</v>
      </c>
      <c r="T146" s="59">
        <f t="shared" si="142"/>
        <v>317.29813413796956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36.922810567025707</v>
      </c>
      <c r="AA146" s="21">
        <f>EXP(-LN(2)/25)*AA145+(1-EXP(-LN(2)/25))/(LN(2)/25)*Calculateur!V146*Calculateur!X146*VLOOKUP('Données projet'!$B$9,Paramètres!$A$1:$I$89,3,0)*0.475*44/12</f>
        <v>1.9410443240561777</v>
      </c>
      <c r="AB146" s="21">
        <f>EXP(-LN(2)/2)*AB145+(1-EXP(-LN(2)/2))/(LN(2)/2)*V146*Y146*VLOOKUP('Données projet'!$B$9,Paramètres!$A$1:$I$89,3,0)*0.475*44/12</f>
        <v>4.2248374765079336E-18</v>
      </c>
      <c r="AC146" s="22">
        <f t="shared" si="111"/>
        <v>38.863854891081886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311.298</v>
      </c>
      <c r="AK146" s="13">
        <f t="shared" si="143"/>
        <v>73.539838278528748</v>
      </c>
      <c r="AL146" s="20">
        <f t="shared" si="112"/>
        <v>670.25923500177089</v>
      </c>
      <c r="AM146" s="59">
        <f t="shared" si="113"/>
        <v>963.59256833510426</v>
      </c>
      <c r="AN146" s="59">
        <f ca="1">AVERAGE(OFFSET($AM$3,0,0,'Données projet'!$E$10+1,1))-AVERAGE(OFFSET($H$3,0,0,'Données projet'!$E$10+1,1))</f>
        <v>392.48436003609055</v>
      </c>
      <c r="AO146" s="59">
        <f t="shared" si="144"/>
        <v>236.3312446580419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64.429352542681841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64.429352542681841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404.99999999999989</v>
      </c>
      <c r="BE146" s="13">
        <f>BD146*VLOOKUP('Données projet'!$B$11,Paramètres!$A$1:$I$89,3,0)*VLOOKUP('Données projet'!$B$11,Paramètres!$A$1:$I$89,5,0)</f>
        <v>347.4899999999999</v>
      </c>
      <c r="BF146" s="13">
        <f t="shared" si="145"/>
        <v>81.045459877391451</v>
      </c>
      <c r="BG146" s="20">
        <f t="shared" si="115"/>
        <v>746.36592595312322</v>
      </c>
      <c r="BH146" s="59">
        <f t="shared" si="116"/>
        <v>1039.6992592864565</v>
      </c>
      <c r="BI146" s="59">
        <f ca="1">AVERAGE(OFFSET($BH$3,0,0,'Données projet'!$E$11+1,1))-AVERAGE(OFFSET($H$3,0,0,'Données projet'!$E$11+1,1))</f>
        <v>352.61091660077574</v>
      </c>
      <c r="BJ146" s="59">
        <f t="shared" si="146"/>
        <v>186.48649111821521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63.096481277958155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63.096481277958155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795.00000000000068</v>
      </c>
      <c r="O147" s="13">
        <f>N147*VLOOKUP('Données projet'!$B$9,Paramètres!$A$1:$I$89,3,0)*VLOOKUP('Données projet'!$B$9,Paramètres!$A$1:$I$89,5,0)</f>
        <v>372.06000000000029</v>
      </c>
      <c r="P147" s="13">
        <f t="shared" si="141"/>
        <v>86.088609967897526</v>
      </c>
      <c r="Q147" s="20">
        <f t="shared" si="108"/>
        <v>797.94216236075533</v>
      </c>
      <c r="R147" s="59">
        <f t="shared" si="109"/>
        <v>1091.2754956940887</v>
      </c>
      <c r="S147" s="59">
        <f ca="1">AVERAGE(OFFSET($R$3,0,0,'Données projet'!$E$9+1,1))-AVERAGE(OFFSET($H$3,0,0,'Données projet'!$E$9+1,1))</f>
        <v>379.12827535040157</v>
      </c>
      <c r="T147" s="59">
        <f t="shared" si="142"/>
        <v>317.29813413796956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36.198776772497048</v>
      </c>
      <c r="AA147" s="21">
        <f>EXP(-LN(2)/25)*AA146+(1-EXP(-LN(2)/25))/(LN(2)/25)*Calculateur!V147*Calculateur!X147*VLOOKUP('Données projet'!$B$9,Paramètres!$A$1:$I$89,3,0)*0.475*44/12</f>
        <v>1.8879663649397769</v>
      </c>
      <c r="AB147" s="21">
        <f>EXP(-LN(2)/2)*AB146+(1-EXP(-LN(2)/2))/(LN(2)/2)*V147*Y147*VLOOKUP('Données projet'!$B$9,Paramètres!$A$1:$I$89,3,0)*0.475*44/12</f>
        <v>2.987411229049821E-18</v>
      </c>
      <c r="AC147" s="22">
        <f t="shared" si="111"/>
        <v>38.086743137436827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311.298</v>
      </c>
      <c r="AK147" s="13">
        <f t="shared" si="143"/>
        <v>73.539838278528748</v>
      </c>
      <c r="AL147" s="20">
        <f t="shared" si="112"/>
        <v>670.25923500177089</v>
      </c>
      <c r="AM147" s="59">
        <f t="shared" si="113"/>
        <v>963.59256833510426</v>
      </c>
      <c r="AN147" s="59">
        <f ca="1">AVERAGE(OFFSET($AM$3,0,0,'Données projet'!$E$10+1,1))-AVERAGE(OFFSET($H$3,0,0,'Données projet'!$E$10+1,1))</f>
        <v>392.48436003609055</v>
      </c>
      <c r="AO147" s="59">
        <f t="shared" si="144"/>
        <v>236.3312446580419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63.165932237344542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63.165932237344542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404.99999999999989</v>
      </c>
      <c r="BE147" s="13">
        <f>BD147*VLOOKUP('Données projet'!$B$11,Paramètres!$A$1:$I$89,3,0)*VLOOKUP('Données projet'!$B$11,Paramètres!$A$1:$I$89,5,0)</f>
        <v>347.4899999999999</v>
      </c>
      <c r="BF147" s="13">
        <f t="shared" si="145"/>
        <v>81.045459877391451</v>
      </c>
      <c r="BG147" s="20">
        <f t="shared" si="115"/>
        <v>746.36592595312322</v>
      </c>
      <c r="BH147" s="59">
        <f t="shared" si="116"/>
        <v>1039.6992592864565</v>
      </c>
      <c r="BI147" s="59">
        <f ca="1">AVERAGE(OFFSET($BH$3,0,0,'Données projet'!$E$11+1,1))-AVERAGE(OFFSET($H$3,0,0,'Données projet'!$E$11+1,1))</f>
        <v>352.61091660077574</v>
      </c>
      <c r="BJ147" s="59">
        <f t="shared" si="146"/>
        <v>186.48649111821521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61.859197765150888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61.859197765150888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795.00000000000068</v>
      </c>
      <c r="O148" s="13">
        <f>N148*VLOOKUP('Données projet'!$B$9,Paramètres!$A$1:$I$89,3,0)*VLOOKUP('Données projet'!$B$9,Paramètres!$A$1:$I$89,5,0)</f>
        <v>372.06000000000029</v>
      </c>
      <c r="P148" s="13">
        <f t="shared" si="141"/>
        <v>86.088609967897526</v>
      </c>
      <c r="Q148" s="20">
        <f t="shared" si="108"/>
        <v>797.94216236075533</v>
      </c>
      <c r="R148" s="59">
        <f t="shared" si="109"/>
        <v>1091.2754956940887</v>
      </c>
      <c r="S148" s="59">
        <f ca="1">AVERAGE(OFFSET($R$3,0,0,'Données projet'!$E$9+1,1))-AVERAGE(OFFSET($H$3,0,0,'Données projet'!$E$9+1,1))</f>
        <v>379.12827535040157</v>
      </c>
      <c r="T148" s="59">
        <f t="shared" si="142"/>
        <v>317.29813413796956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35.488940839062082</v>
      </c>
      <c r="AA148" s="21">
        <f>EXP(-LN(2)/25)*AA147+(1-EXP(-LN(2)/25))/(LN(2)/25)*Calculateur!V148*Calculateur!X148*VLOOKUP('Données projet'!$B$9,Paramètres!$A$1:$I$89,3,0)*0.475*44/12</f>
        <v>1.8363398254066625</v>
      </c>
      <c r="AB148" s="21">
        <f>EXP(-LN(2)/2)*AB147+(1-EXP(-LN(2)/2))/(LN(2)/2)*V148*Y148*VLOOKUP('Données projet'!$B$9,Paramètres!$A$1:$I$89,3,0)*0.475*44/12</f>
        <v>2.1124187382539668E-18</v>
      </c>
      <c r="AC148" s="22">
        <f t="shared" si="111"/>
        <v>37.325280664468742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311.298</v>
      </c>
      <c r="AK148" s="13">
        <f t="shared" si="143"/>
        <v>73.539838278528748</v>
      </c>
      <c r="AL148" s="20">
        <f t="shared" si="112"/>
        <v>670.25923500177089</v>
      </c>
      <c r="AM148" s="59">
        <f t="shared" si="113"/>
        <v>963.59256833510426</v>
      </c>
      <c r="AN148" s="59">
        <f ca="1">AVERAGE(OFFSET($AM$3,0,0,'Données projet'!$E$10+1,1))-AVERAGE(OFFSET($H$3,0,0,'Données projet'!$E$10+1,1))</f>
        <v>392.48436003609055</v>
      </c>
      <c r="AO148" s="59">
        <f t="shared" si="144"/>
        <v>236.3312446580419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61.927286833584617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61.927286833584617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404.99999999999989</v>
      </c>
      <c r="BE148" s="13">
        <f>BD148*VLOOKUP('Données projet'!$B$11,Paramètres!$A$1:$I$89,3,0)*VLOOKUP('Données projet'!$B$11,Paramètres!$A$1:$I$89,5,0)</f>
        <v>347.4899999999999</v>
      </c>
      <c r="BF148" s="13">
        <f t="shared" si="145"/>
        <v>81.045459877391451</v>
      </c>
      <c r="BG148" s="20">
        <f t="shared" si="115"/>
        <v>746.36592595312322</v>
      </c>
      <c r="BH148" s="59">
        <f t="shared" si="116"/>
        <v>1039.6992592864565</v>
      </c>
      <c r="BI148" s="59">
        <f ca="1">AVERAGE(OFFSET($BH$3,0,0,'Données projet'!$E$11+1,1))-AVERAGE(OFFSET($H$3,0,0,'Données projet'!$E$11+1,1))</f>
        <v>352.61091660077574</v>
      </c>
      <c r="BJ148" s="59">
        <f t="shared" si="146"/>
        <v>186.48649111821521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60.646176627361349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60.646176627361349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795.00000000000068</v>
      </c>
      <c r="O149" s="13">
        <f>N149*VLOOKUP('Données projet'!$B$9,Paramètres!$A$1:$I$89,3,0)*VLOOKUP('Données projet'!$B$9,Paramètres!$A$1:$I$89,5,0)</f>
        <v>372.06000000000029</v>
      </c>
      <c r="P149" s="13">
        <f t="shared" si="141"/>
        <v>86.088609967897526</v>
      </c>
      <c r="Q149" s="20">
        <f t="shared" si="108"/>
        <v>797.94216236075533</v>
      </c>
      <c r="R149" s="59">
        <f t="shared" si="109"/>
        <v>1091.2754956940887</v>
      </c>
      <c r="S149" s="59">
        <f ca="1">AVERAGE(OFFSET($R$3,0,0,'Données projet'!$E$9+1,1))-AVERAGE(OFFSET($H$3,0,0,'Données projet'!$E$9+1,1))</f>
        <v>379.12827535040157</v>
      </c>
      <c r="T149" s="59">
        <f t="shared" si="142"/>
        <v>317.29813413796956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34.793024355324611</v>
      </c>
      <c r="AA149" s="21">
        <f>EXP(-LN(2)/25)*AA148+(1-EXP(-LN(2)/25))/(LN(2)/25)*Calculateur!V149*Calculateur!X149*VLOOKUP('Données projet'!$B$9,Paramètres!$A$1:$I$89,3,0)*0.475*44/12</f>
        <v>1.7861250163120028</v>
      </c>
      <c r="AB149" s="21">
        <f>EXP(-LN(2)/2)*AB148+(1-EXP(-LN(2)/2))/(LN(2)/2)*V149*Y149*VLOOKUP('Données projet'!$B$9,Paramètres!$A$1:$I$89,3,0)*0.475*44/12</f>
        <v>1.4937056145249105E-18</v>
      </c>
      <c r="AC149" s="22">
        <f t="shared" si="111"/>
        <v>36.579149371636618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311.298</v>
      </c>
      <c r="AK149" s="13">
        <f t="shared" si="143"/>
        <v>73.539838278528748</v>
      </c>
      <c r="AL149" s="20">
        <f t="shared" si="112"/>
        <v>670.25923500177089</v>
      </c>
      <c r="AM149" s="59">
        <f t="shared" si="113"/>
        <v>963.59256833510426</v>
      </c>
      <c r="AN149" s="59">
        <f ca="1">AVERAGE(OFFSET($AM$3,0,0,'Données projet'!$E$10+1,1))-AVERAGE(OFFSET($H$3,0,0,'Données projet'!$E$10+1,1))</f>
        <v>392.48436003609055</v>
      </c>
      <c r="AO149" s="59">
        <f t="shared" si="144"/>
        <v>236.3312446580419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60.712930510693326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60.712930510693326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404.99999999999989</v>
      </c>
      <c r="BE149" s="13">
        <f>BD149*VLOOKUP('Données projet'!$B$11,Paramètres!$A$1:$I$89,3,0)*VLOOKUP('Données projet'!$B$11,Paramètres!$A$1:$I$89,5,0)</f>
        <v>347.4899999999999</v>
      </c>
      <c r="BF149" s="13">
        <f t="shared" si="145"/>
        <v>81.045459877391451</v>
      </c>
      <c r="BG149" s="20">
        <f t="shared" si="115"/>
        <v>746.36592595312322</v>
      </c>
      <c r="BH149" s="59">
        <f t="shared" si="116"/>
        <v>1039.6992592864565</v>
      </c>
      <c r="BI149" s="59">
        <f ca="1">AVERAGE(OFFSET($BH$3,0,0,'Données projet'!$E$11+1,1))-AVERAGE(OFFSET($H$3,0,0,'Données projet'!$E$11+1,1))</f>
        <v>352.61091660077574</v>
      </c>
      <c r="BJ149" s="59">
        <f t="shared" si="146"/>
        <v>186.48649111821521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59.456942094214028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59.456942094214028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795.00000000000068</v>
      </c>
      <c r="O150" s="13">
        <f>N150*VLOOKUP('Données projet'!$B$9,Paramètres!$A$1:$I$89,3,0)*VLOOKUP('Données projet'!$B$9,Paramètres!$A$1:$I$89,5,0)</f>
        <v>372.06000000000029</v>
      </c>
      <c r="P150" s="13">
        <f t="shared" si="141"/>
        <v>86.088609967897526</v>
      </c>
      <c r="Q150" s="20">
        <f t="shared" si="108"/>
        <v>797.94216236075533</v>
      </c>
      <c r="R150" s="59">
        <f t="shared" si="109"/>
        <v>1091.2754956940887</v>
      </c>
      <c r="S150" s="59">
        <f ca="1">AVERAGE(OFFSET($R$3,0,0,'Données projet'!$E$9+1,1))-AVERAGE(OFFSET($H$3,0,0,'Données projet'!$E$9+1,1))</f>
        <v>379.12827535040157</v>
      </c>
      <c r="T150" s="59">
        <f t="shared" si="142"/>
        <v>317.29813413796956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34.110754369366092</v>
      </c>
      <c r="AA150" s="21">
        <f>EXP(-LN(2)/25)*AA149+(1-EXP(-LN(2)/25))/(LN(2)/25)*Calculateur!V150*Calculateur!X150*VLOOKUP('Données projet'!$B$9,Paramètres!$A$1:$I$89,3,0)*0.475*44/12</f>
        <v>1.7372833338127187</v>
      </c>
      <c r="AB150" s="21">
        <f>EXP(-LN(2)/2)*AB149+(1-EXP(-LN(2)/2))/(LN(2)/2)*V150*Y150*VLOOKUP('Données projet'!$B$9,Paramètres!$A$1:$I$89,3,0)*0.475*44/12</f>
        <v>1.0562093691269834E-18</v>
      </c>
      <c r="AC150" s="22">
        <f t="shared" si="111"/>
        <v>35.848037703178811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311.298</v>
      </c>
      <c r="AK150" s="13">
        <f t="shared" si="143"/>
        <v>73.539838278528748</v>
      </c>
      <c r="AL150" s="20">
        <f t="shared" si="112"/>
        <v>670.25923500177089</v>
      </c>
      <c r="AM150" s="59">
        <f t="shared" si="113"/>
        <v>963.59256833510426</v>
      </c>
      <c r="AN150" s="59">
        <f ca="1">AVERAGE(OFFSET($AM$3,0,0,'Données projet'!$E$10+1,1))-AVERAGE(OFFSET($H$3,0,0,'Données projet'!$E$10+1,1))</f>
        <v>392.48436003609055</v>
      </c>
      <c r="AO150" s="59">
        <f t="shared" si="144"/>
        <v>236.3312446580419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59.522386974609709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59.522386974609709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404.99999999999989</v>
      </c>
      <c r="BE150" s="13">
        <f>BD150*VLOOKUP('Données projet'!$B$11,Paramètres!$A$1:$I$89,3,0)*VLOOKUP('Données projet'!$B$11,Paramètres!$A$1:$I$89,5,0)</f>
        <v>347.4899999999999</v>
      </c>
      <c r="BF150" s="13">
        <f t="shared" si="145"/>
        <v>81.045459877391451</v>
      </c>
      <c r="BG150" s="20">
        <f t="shared" si="115"/>
        <v>746.36592595312322</v>
      </c>
      <c r="BH150" s="59">
        <f t="shared" si="116"/>
        <v>1039.6992592864565</v>
      </c>
      <c r="BI150" s="59">
        <f ca="1">AVERAGE(OFFSET($BH$3,0,0,'Données projet'!$E$11+1,1))-AVERAGE(OFFSET($H$3,0,0,'Données projet'!$E$11+1,1))</f>
        <v>352.61091660077574</v>
      </c>
      <c r="BJ150" s="59">
        <f t="shared" si="146"/>
        <v>186.48649111821521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58.291027724900282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58.291027724900282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795.00000000000068</v>
      </c>
      <c r="O151" s="13">
        <f>N151*VLOOKUP('Données projet'!$B$9,Paramètres!$A$1:$I$89,3,0)*VLOOKUP('Données projet'!$B$9,Paramètres!$A$1:$I$89,5,0)</f>
        <v>372.06000000000029</v>
      </c>
      <c r="P151" s="13">
        <f t="shared" si="141"/>
        <v>86.088609967897526</v>
      </c>
      <c r="Q151" s="20">
        <f t="shared" si="108"/>
        <v>797.94216236075533</v>
      </c>
      <c r="R151" s="59">
        <f t="shared" si="109"/>
        <v>1091.2754956940887</v>
      </c>
      <c r="S151" s="59">
        <f ca="1">AVERAGE(OFFSET($R$3,0,0,'Données projet'!$E$9+1,1))-AVERAGE(OFFSET($H$3,0,0,'Données projet'!$E$9+1,1))</f>
        <v>379.12827535040157</v>
      </c>
      <c r="T151" s="59">
        <f t="shared" si="142"/>
        <v>317.29813413796956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33.441863281688612</v>
      </c>
      <c r="AA151" s="21">
        <f>EXP(-LN(2)/25)*AA150+(1-EXP(-LN(2)/25))/(LN(2)/25)*Calculateur!V151*Calculateur!X151*VLOOKUP('Données projet'!$B$9,Paramètres!$A$1:$I$89,3,0)*0.475*44/12</f>
        <v>1.6897772296898501</v>
      </c>
      <c r="AB151" s="21">
        <f>EXP(-LN(2)/2)*AB150+(1-EXP(-LN(2)/2))/(LN(2)/2)*V151*Y151*VLOOKUP('Données projet'!$B$9,Paramètres!$A$1:$I$89,3,0)*0.475*44/12</f>
        <v>7.4685280726245525E-19</v>
      </c>
      <c r="AC151" s="22">
        <f t="shared" si="111"/>
        <v>35.131640511378464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311.298</v>
      </c>
      <c r="AK151" s="13">
        <f t="shared" si="143"/>
        <v>73.539838278528748</v>
      </c>
      <c r="AL151" s="20">
        <f t="shared" si="112"/>
        <v>670.25923500177089</v>
      </c>
      <c r="AM151" s="59">
        <f t="shared" si="113"/>
        <v>963.59256833510426</v>
      </c>
      <c r="AN151" s="59">
        <f ca="1">AVERAGE(OFFSET($AM$3,0,0,'Données projet'!$E$10+1,1))-AVERAGE(OFFSET($H$3,0,0,'Données projet'!$E$10+1,1))</f>
        <v>392.48436003609055</v>
      </c>
      <c r="AO151" s="59">
        <f t="shared" si="144"/>
        <v>236.3312446580419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58.355189271108841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58.355189271108841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404.99999999999989</v>
      </c>
      <c r="BE151" s="13">
        <f>BD151*VLOOKUP('Données projet'!$B$11,Paramètres!$A$1:$I$89,3,0)*VLOOKUP('Données projet'!$B$11,Paramètres!$A$1:$I$89,5,0)</f>
        <v>347.4899999999999</v>
      </c>
      <c r="BF151" s="13">
        <f t="shared" si="145"/>
        <v>81.045459877391451</v>
      </c>
      <c r="BG151" s="20">
        <f t="shared" si="115"/>
        <v>746.36592595312322</v>
      </c>
      <c r="BH151" s="59">
        <f t="shared" si="116"/>
        <v>1039.6992592864565</v>
      </c>
      <c r="BI151" s="59">
        <f ca="1">AVERAGE(OFFSET($BH$3,0,0,'Données projet'!$E$11+1,1))-AVERAGE(OFFSET($H$3,0,0,'Données projet'!$E$11+1,1))</f>
        <v>352.61091660077574</v>
      </c>
      <c r="BJ151" s="59">
        <f t="shared" si="146"/>
        <v>186.48649111821521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57.147976225231233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57.147976225231233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795.00000000000068</v>
      </c>
      <c r="O152" s="13">
        <f>N152*VLOOKUP('Données projet'!$B$9,Paramètres!$A$1:$I$89,3,0)*VLOOKUP('Données projet'!$B$9,Paramètres!$A$1:$I$89,5,0)</f>
        <v>372.06000000000029</v>
      </c>
      <c r="P152" s="13">
        <f t="shared" si="141"/>
        <v>86.088609967897526</v>
      </c>
      <c r="Q152" s="20">
        <f t="shared" si="108"/>
        <v>797.94216236075533</v>
      </c>
      <c r="R152" s="59">
        <f t="shared" si="109"/>
        <v>1091.2754956940887</v>
      </c>
      <c r="S152" s="59">
        <f ca="1">AVERAGE(OFFSET($R$3,0,0,'Données projet'!$E$9+1,1))-AVERAGE(OFFSET($H$3,0,0,'Données projet'!$E$9+1,1))</f>
        <v>379.12827535040157</v>
      </c>
      <c r="T152" s="59">
        <f t="shared" si="142"/>
        <v>317.29813413796956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32.786088740257213</v>
      </c>
      <c r="AA152" s="21">
        <f>EXP(-LN(2)/25)*AA151+(1-EXP(-LN(2)/25))/(LN(2)/25)*Calculateur!V152*Calculateur!X152*VLOOKUP('Données projet'!$B$9,Paramètres!$A$1:$I$89,3,0)*0.475*44/12</f>
        <v>1.6435701824824587</v>
      </c>
      <c r="AB152" s="21">
        <f>EXP(-LN(2)/2)*AB151+(1-EXP(-LN(2)/2))/(LN(2)/2)*V152*Y152*VLOOKUP('Données projet'!$B$9,Paramètres!$A$1:$I$89,3,0)*0.475*44/12</f>
        <v>5.2810468456349169E-19</v>
      </c>
      <c r="AC152" s="22">
        <f t="shared" si="111"/>
        <v>34.429658922739669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311.298</v>
      </c>
      <c r="AK152" s="13">
        <f t="shared" si="143"/>
        <v>73.539838278528748</v>
      </c>
      <c r="AL152" s="20">
        <f t="shared" si="112"/>
        <v>670.25923500177089</v>
      </c>
      <c r="AM152" s="59">
        <f t="shared" si="113"/>
        <v>963.59256833510426</v>
      </c>
      <c r="AN152" s="59">
        <f ca="1">AVERAGE(OFFSET($AM$3,0,0,'Données projet'!$E$10+1,1))-AVERAGE(OFFSET($H$3,0,0,'Données projet'!$E$10+1,1))</f>
        <v>392.48436003609055</v>
      </c>
      <c r="AO152" s="59">
        <f t="shared" si="144"/>
        <v>236.3312446580419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57.210879602653321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57.210879602653321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404.99999999999989</v>
      </c>
      <c r="BE152" s="13">
        <f>BD152*VLOOKUP('Données projet'!$B$11,Paramètres!$A$1:$I$89,3,0)*VLOOKUP('Données projet'!$B$11,Paramètres!$A$1:$I$89,5,0)</f>
        <v>347.4899999999999</v>
      </c>
      <c r="BF152" s="13">
        <f t="shared" si="145"/>
        <v>81.045459877391451</v>
      </c>
      <c r="BG152" s="20">
        <f t="shared" si="115"/>
        <v>746.36592595312322</v>
      </c>
      <c r="BH152" s="59">
        <f t="shared" si="116"/>
        <v>1039.6992592864565</v>
      </c>
      <c r="BI152" s="59">
        <f ca="1">AVERAGE(OFFSET($BH$3,0,0,'Données projet'!$E$11+1,1))-AVERAGE(OFFSET($H$3,0,0,'Données projet'!$E$11+1,1))</f>
        <v>352.61091660077574</v>
      </c>
      <c r="BJ152" s="59">
        <f t="shared" si="146"/>
        <v>186.48649111821521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56.027339268278119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56.027339268278119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795.00000000000068</v>
      </c>
      <c r="O153" s="13">
        <f>N153*VLOOKUP('Données projet'!$B$9,Paramètres!$A$1:$I$89,3,0)*VLOOKUP('Données projet'!$B$9,Paramètres!$A$1:$I$89,5,0)</f>
        <v>372.06000000000029</v>
      </c>
      <c r="P153" s="13">
        <f t="shared" si="141"/>
        <v>86.088609967897526</v>
      </c>
      <c r="Q153" s="20">
        <f t="shared" si="108"/>
        <v>797.94216236075533</v>
      </c>
      <c r="R153" s="59">
        <f t="shared" si="109"/>
        <v>1091.2754956940887</v>
      </c>
      <c r="S153" s="59">
        <f ca="1">AVERAGE(OFFSET($R$3,0,0,'Données projet'!$E$9+1,1))-AVERAGE(OFFSET($H$3,0,0,'Données projet'!$E$9+1,1))</f>
        <v>379.12827535040157</v>
      </c>
      <c r="T153" s="59">
        <f t="shared" si="142"/>
        <v>317.29813413796956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32.143173537600305</v>
      </c>
      <c r="AA153" s="21">
        <f>EXP(-LN(2)/25)*AA152+(1-EXP(-LN(2)/25))/(LN(2)/25)*Calculateur!V153*Calculateur!X153*VLOOKUP('Données projet'!$B$9,Paramètres!$A$1:$I$89,3,0)*0.475*44/12</f>
        <v>1.5986266694108764</v>
      </c>
      <c r="AB153" s="21">
        <f>EXP(-LN(2)/2)*AB152+(1-EXP(-LN(2)/2))/(LN(2)/2)*V153*Y153*VLOOKUP('Données projet'!$B$9,Paramètres!$A$1:$I$89,3,0)*0.475*44/12</f>
        <v>3.7342640363122763E-19</v>
      </c>
      <c r="AC153" s="22">
        <f t="shared" si="111"/>
        <v>33.741800207011181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311.298</v>
      </c>
      <c r="AK153" s="13">
        <f t="shared" si="143"/>
        <v>73.539838278528748</v>
      </c>
      <c r="AL153" s="20">
        <f t="shared" si="112"/>
        <v>670.25923500177089</v>
      </c>
      <c r="AM153" s="59">
        <f t="shared" si="113"/>
        <v>963.59256833510426</v>
      </c>
      <c r="AN153" s="59">
        <f ca="1">AVERAGE(OFFSET($AM$3,0,0,'Données projet'!$E$10+1,1))-AVERAGE(OFFSET($H$3,0,0,'Données projet'!$E$10+1,1))</f>
        <v>392.48436003609055</v>
      </c>
      <c r="AO153" s="59">
        <f t="shared" si="144"/>
        <v>236.3312446580419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56.089009148836233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56.089009148836233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404.99999999999989</v>
      </c>
      <c r="BE153" s="13">
        <f>BD153*VLOOKUP('Données projet'!$B$11,Paramètres!$A$1:$I$89,3,0)*VLOOKUP('Données projet'!$B$11,Paramètres!$A$1:$I$89,5,0)</f>
        <v>347.4899999999999</v>
      </c>
      <c r="BF153" s="13">
        <f t="shared" si="145"/>
        <v>81.045459877391451</v>
      </c>
      <c r="BG153" s="20">
        <f t="shared" si="115"/>
        <v>746.36592595312322</v>
      </c>
      <c r="BH153" s="59">
        <f t="shared" si="116"/>
        <v>1039.6992592864565</v>
      </c>
      <c r="BI153" s="59">
        <f ca="1">AVERAGE(OFFSET($BH$3,0,0,'Données projet'!$E$11+1,1))-AVERAGE(OFFSET($H$3,0,0,'Données projet'!$E$11+1,1))</f>
        <v>352.61091660077574</v>
      </c>
      <c r="BJ153" s="59">
        <f t="shared" si="146"/>
        <v>186.48649111821521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54.928677318529807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54.928677318529807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795.00000000000068</v>
      </c>
      <c r="O154" s="13">
        <f>N154*VLOOKUP('Données projet'!$B$9,Paramètres!$A$1:$I$89,3,0)*VLOOKUP('Données projet'!$B$9,Paramètres!$A$1:$I$89,5,0)</f>
        <v>372.06000000000029</v>
      </c>
      <c r="P154" s="13">
        <f t="shared" si="141"/>
        <v>86.088609967897526</v>
      </c>
      <c r="Q154" s="20">
        <f t="shared" ref="Q154:Q203" si="162">(O154+P154)*0.475*44/12</f>
        <v>797.94216236075533</v>
      </c>
      <c r="R154" s="59">
        <f t="shared" si="109"/>
        <v>1091.2754956940887</v>
      </c>
      <c r="S154" s="59">
        <f ca="1">AVERAGE(OFFSET($R$3,0,0,'Données projet'!$E$9+1,1))-AVERAGE(OFFSET($H$3,0,0,'Données projet'!$E$9+1,1))</f>
        <v>379.12827535040157</v>
      </c>
      <c r="T154" s="59">
        <f t="shared" si="142"/>
        <v>317.29813413796956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31.512865509927948</v>
      </c>
      <c r="AA154" s="21">
        <f>EXP(-LN(2)/25)*AA153+(1-EXP(-LN(2)/25))/(LN(2)/25)*Calculateur!V154*Calculateur!X154*VLOOKUP('Données projet'!$B$9,Paramètres!$A$1:$I$89,3,0)*0.475*44/12</f>
        <v>1.5549121390677132</v>
      </c>
      <c r="AB154" s="21">
        <f>EXP(-LN(2)/2)*AB153+(1-EXP(-LN(2)/2))/(LN(2)/2)*V154*Y154*VLOOKUP('Données projet'!$B$9,Paramètres!$A$1:$I$89,3,0)*0.475*44/12</f>
        <v>2.6405234228174585E-19</v>
      </c>
      <c r="AC154" s="22">
        <f t="shared" ref="AC154:AC203" si="163">SUM(Z154:AB154)</f>
        <v>33.067777648995659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311.298</v>
      </c>
      <c r="AK154" s="13">
        <f t="shared" ref="AK154:AK203" si="164">EXP(-1.0587+0.8836*LN(AJ154)+0.284)</f>
        <v>73.539838278528748</v>
      </c>
      <c r="AL154" s="20">
        <f t="shared" ref="AL154:AL203" si="165">(AJ154+AK154)*0.475*44/12</f>
        <v>670.25923500177089</v>
      </c>
      <c r="AM154" s="59">
        <f t="shared" si="113"/>
        <v>963.59256833510426</v>
      </c>
      <c r="AN154" s="59">
        <f ca="1">AVERAGE(OFFSET($AM$3,0,0,'Données projet'!$E$10+1,1))-AVERAGE(OFFSET($H$3,0,0,'Données projet'!$E$10+1,1))</f>
        <v>392.48436003609055</v>
      </c>
      <c r="AO154" s="59">
        <f t="shared" si="144"/>
        <v>236.3312446580419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54.989137890345084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54.989137890345084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404.99999999999989</v>
      </c>
      <c r="BE154" s="13">
        <f>BD154*VLOOKUP('Données projet'!$B$11,Paramètres!$A$1:$I$89,3,0)*VLOOKUP('Données projet'!$B$11,Paramètres!$A$1:$I$89,5,0)</f>
        <v>347.4899999999999</v>
      </c>
      <c r="BF154" s="13">
        <f t="shared" ref="BF154:BF203" si="167">EXP(-1.0587+0.8836*LN(BE154)+0.284)</f>
        <v>81.045459877391451</v>
      </c>
      <c r="BG154" s="20">
        <f t="shared" ref="BG154:BG203" si="168">(BE154+BF154)*0.475*44/12</f>
        <v>746.36592595312322</v>
      </c>
      <c r="BH154" s="59">
        <f t="shared" si="116"/>
        <v>1039.6992592864565</v>
      </c>
      <c r="BI154" s="59">
        <f ca="1">AVERAGE(OFFSET($BH$3,0,0,'Données projet'!$E$11+1,1))-AVERAGE(OFFSET($H$3,0,0,'Données projet'!$E$11+1,1))</f>
        <v>352.61091660077574</v>
      </c>
      <c r="BJ154" s="59">
        <f t="shared" si="146"/>
        <v>186.48649111821521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53.851559459498439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53.851559459498439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795.00000000000068</v>
      </c>
      <c r="O155" s="13">
        <f>N155*VLOOKUP('Données projet'!$B$9,Paramètres!$A$1:$I$89,3,0)*VLOOKUP('Données projet'!$B$9,Paramètres!$A$1:$I$89,5,0)</f>
        <v>372.06000000000029</v>
      </c>
      <c r="P155" s="13">
        <f t="shared" si="141"/>
        <v>86.088609967897526</v>
      </c>
      <c r="Q155" s="20">
        <f t="shared" si="162"/>
        <v>797.94216236075533</v>
      </c>
      <c r="R155" s="59">
        <f t="shared" si="109"/>
        <v>1091.2754956940887</v>
      </c>
      <c r="S155" s="59">
        <f ca="1">AVERAGE(OFFSET($R$3,0,0,'Données projet'!$E$9+1,1))-AVERAGE(OFFSET($H$3,0,0,'Données projet'!$E$9+1,1))</f>
        <v>379.12827535040157</v>
      </c>
      <c r="T155" s="59">
        <f t="shared" si="142"/>
        <v>317.29813413796956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30.894917438228312</v>
      </c>
      <c r="AA155" s="21">
        <f>EXP(-LN(2)/25)*AA154+(1-EXP(-LN(2)/25))/(LN(2)/25)*Calculateur!V155*Calculateur!X155*VLOOKUP('Données projet'!$B$9,Paramètres!$A$1:$I$89,3,0)*0.475*44/12</f>
        <v>1.512392984855631</v>
      </c>
      <c r="AB155" s="21">
        <f>EXP(-LN(2)/2)*AB154+(1-EXP(-LN(2)/2))/(LN(2)/2)*V155*Y155*VLOOKUP('Données projet'!$B$9,Paramètres!$A$1:$I$89,3,0)*0.475*44/12</f>
        <v>1.8671320181561381E-19</v>
      </c>
      <c r="AC155" s="22">
        <f t="shared" si="163"/>
        <v>32.407310423083942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311.298</v>
      </c>
      <c r="AK155" s="13">
        <f t="shared" si="164"/>
        <v>73.539838278528748</v>
      </c>
      <c r="AL155" s="20">
        <f t="shared" si="165"/>
        <v>670.25923500177089</v>
      </c>
      <c r="AM155" s="59">
        <f t="shared" si="113"/>
        <v>963.59256833510426</v>
      </c>
      <c r="AN155" s="59">
        <f ca="1">AVERAGE(OFFSET($AM$3,0,0,'Données projet'!$E$10+1,1))-AVERAGE(OFFSET($H$3,0,0,'Données projet'!$E$10+1,1))</f>
        <v>392.48436003609055</v>
      </c>
      <c r="AO155" s="59">
        <f t="shared" si="144"/>
        <v>236.3312446580419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53.910834436377726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53.910834436377726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404.99999999999989</v>
      </c>
      <c r="BE155" s="13">
        <f>BD155*VLOOKUP('Données projet'!$B$11,Paramètres!$A$1:$I$89,3,0)*VLOOKUP('Données projet'!$B$11,Paramètres!$A$1:$I$89,5,0)</f>
        <v>347.4899999999999</v>
      </c>
      <c r="BF155" s="13">
        <f t="shared" si="167"/>
        <v>81.045459877391451</v>
      </c>
      <c r="BG155" s="20">
        <f t="shared" si="168"/>
        <v>746.36592595312322</v>
      </c>
      <c r="BH155" s="59">
        <f t="shared" si="116"/>
        <v>1039.6992592864565</v>
      </c>
      <c r="BI155" s="59">
        <f ca="1">AVERAGE(OFFSET($BH$3,0,0,'Données projet'!$E$11+1,1))-AVERAGE(OFFSET($H$3,0,0,'Données projet'!$E$11+1,1))</f>
        <v>352.61091660077574</v>
      </c>
      <c r="BJ155" s="59">
        <f t="shared" si="146"/>
        <v>186.48649111821521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52.795563224705653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52.795563224705653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795.00000000000068</v>
      </c>
      <c r="O156" s="13">
        <f>N156*VLOOKUP('Données projet'!$B$9,Paramètres!$A$1:$I$89,3,0)*VLOOKUP('Données projet'!$B$9,Paramètres!$A$1:$I$89,5,0)</f>
        <v>372.06000000000029</v>
      </c>
      <c r="P156" s="13">
        <f t="shared" si="141"/>
        <v>86.088609967897526</v>
      </c>
      <c r="Q156" s="20">
        <f t="shared" si="162"/>
        <v>797.94216236075533</v>
      </c>
      <c r="R156" s="59">
        <f t="shared" si="109"/>
        <v>1091.2754956940887</v>
      </c>
      <c r="S156" s="59">
        <f ca="1">AVERAGE(OFFSET($R$3,0,0,'Données projet'!$E$9+1,1))-AVERAGE(OFFSET($H$3,0,0,'Données projet'!$E$9+1,1))</f>
        <v>379.12827535040157</v>
      </c>
      <c r="T156" s="59">
        <f t="shared" si="142"/>
        <v>317.29813413796956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30.289086951303599</v>
      </c>
      <c r="AA156" s="21">
        <f>EXP(-LN(2)/25)*AA155+(1-EXP(-LN(2)/25))/(LN(2)/25)*Calculateur!V156*Calculateur!X156*VLOOKUP('Données projet'!$B$9,Paramètres!$A$1:$I$89,3,0)*0.475*44/12</f>
        <v>1.4710365191514634</v>
      </c>
      <c r="AB156" s="21">
        <f>EXP(-LN(2)/2)*AB155+(1-EXP(-LN(2)/2))/(LN(2)/2)*V156*Y156*VLOOKUP('Données projet'!$B$9,Paramètres!$A$1:$I$89,3,0)*0.475*44/12</f>
        <v>1.3202617114087292E-19</v>
      </c>
      <c r="AC156" s="22">
        <f t="shared" si="163"/>
        <v>31.760123470455063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311.298</v>
      </c>
      <c r="AK156" s="13">
        <f t="shared" si="164"/>
        <v>73.539838278528748</v>
      </c>
      <c r="AL156" s="20">
        <f t="shared" si="165"/>
        <v>670.25923500177089</v>
      </c>
      <c r="AM156" s="59">
        <f t="shared" si="113"/>
        <v>963.59256833510426</v>
      </c>
      <c r="AN156" s="59">
        <f ca="1">AVERAGE(OFFSET($AM$3,0,0,'Données projet'!$E$10+1,1))-AVERAGE(OFFSET($H$3,0,0,'Données projet'!$E$10+1,1))</f>
        <v>392.48436003609055</v>
      </c>
      <c r="AO156" s="59">
        <f t="shared" si="144"/>
        <v>236.3312446580419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52.853675855442503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52.853675855442503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404.99999999999989</v>
      </c>
      <c r="BE156" s="13">
        <f>BD156*VLOOKUP('Données projet'!$B$11,Paramètres!$A$1:$I$89,3,0)*VLOOKUP('Données projet'!$B$11,Paramètres!$A$1:$I$89,5,0)</f>
        <v>347.4899999999999</v>
      </c>
      <c r="BF156" s="13">
        <f t="shared" si="167"/>
        <v>81.045459877391451</v>
      </c>
      <c r="BG156" s="20">
        <f t="shared" si="168"/>
        <v>746.36592595312322</v>
      </c>
      <c r="BH156" s="59">
        <f t="shared" si="116"/>
        <v>1039.6992592864565</v>
      </c>
      <c r="BI156" s="59">
        <f ca="1">AVERAGE(OFFSET($BH$3,0,0,'Données projet'!$E$11+1,1))-AVERAGE(OFFSET($H$3,0,0,'Données projet'!$E$11+1,1))</f>
        <v>352.61091660077574</v>
      </c>
      <c r="BJ156" s="59">
        <f t="shared" si="146"/>
        <v>186.48649111821521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51.760274431983049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51.760274431983049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795.00000000000068</v>
      </c>
      <c r="O157" s="13">
        <f>N157*VLOOKUP('Données projet'!$B$9,Paramètres!$A$1:$I$89,3,0)*VLOOKUP('Données projet'!$B$9,Paramètres!$A$1:$I$89,5,0)</f>
        <v>372.06000000000029</v>
      </c>
      <c r="P157" s="13">
        <f t="shared" si="141"/>
        <v>86.088609967897526</v>
      </c>
      <c r="Q157" s="20">
        <f t="shared" si="162"/>
        <v>797.94216236075533</v>
      </c>
      <c r="R157" s="59">
        <f t="shared" si="109"/>
        <v>1091.2754956940887</v>
      </c>
      <c r="S157" s="59">
        <f ca="1">AVERAGE(OFFSET($R$3,0,0,'Données projet'!$E$9+1,1))-AVERAGE(OFFSET($H$3,0,0,'Données projet'!$E$9+1,1))</f>
        <v>379.12827535040157</v>
      </c>
      <c r="T157" s="59">
        <f t="shared" si="142"/>
        <v>317.29813413796956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29.695136430707368</v>
      </c>
      <c r="AA157" s="21">
        <f>EXP(-LN(2)/25)*AA156+(1-EXP(-LN(2)/25))/(LN(2)/25)*Calculateur!V157*Calculateur!X157*VLOOKUP('Données projet'!$B$9,Paramètres!$A$1:$I$89,3,0)*0.475*44/12</f>
        <v>1.4308109481768181</v>
      </c>
      <c r="AB157" s="21">
        <f>EXP(-LN(2)/2)*AB156+(1-EXP(-LN(2)/2))/(LN(2)/2)*V157*Y157*VLOOKUP('Données projet'!$B$9,Paramètres!$A$1:$I$89,3,0)*0.475*44/12</f>
        <v>9.3356600907806906E-20</v>
      </c>
      <c r="AC157" s="22">
        <f t="shared" si="163"/>
        <v>31.125947378884185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311.298</v>
      </c>
      <c r="AK157" s="13">
        <f t="shared" si="164"/>
        <v>73.539838278528748</v>
      </c>
      <c r="AL157" s="20">
        <f t="shared" si="165"/>
        <v>670.25923500177089</v>
      </c>
      <c r="AM157" s="59">
        <f t="shared" si="113"/>
        <v>963.59256833510426</v>
      </c>
      <c r="AN157" s="59">
        <f ca="1">AVERAGE(OFFSET($AM$3,0,0,'Données projet'!$E$10+1,1))-AVERAGE(OFFSET($H$3,0,0,'Données projet'!$E$10+1,1))</f>
        <v>392.48436003609055</v>
      </c>
      <c r="AO157" s="59">
        <f t="shared" si="144"/>
        <v>236.3312446580419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51.817247509476353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51.817247509476353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404.99999999999989</v>
      </c>
      <c r="BE157" s="13">
        <f>BD157*VLOOKUP('Données projet'!$B$11,Paramètres!$A$1:$I$89,3,0)*VLOOKUP('Données projet'!$B$11,Paramètres!$A$1:$I$89,5,0)</f>
        <v>347.4899999999999</v>
      </c>
      <c r="BF157" s="13">
        <f t="shared" si="167"/>
        <v>81.045459877391451</v>
      </c>
      <c r="BG157" s="20">
        <f t="shared" si="168"/>
        <v>746.36592595312322</v>
      </c>
      <c r="BH157" s="59">
        <f t="shared" si="116"/>
        <v>1039.6992592864565</v>
      </c>
      <c r="BI157" s="59">
        <f ca="1">AVERAGE(OFFSET($BH$3,0,0,'Données projet'!$E$11+1,1))-AVERAGE(OFFSET($H$3,0,0,'Données projet'!$E$11+1,1))</f>
        <v>352.61091660077574</v>
      </c>
      <c r="BJ157" s="59">
        <f t="shared" si="146"/>
        <v>186.48649111821521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50.745287021021923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50.745287021021923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795.00000000000068</v>
      </c>
      <c r="O158" s="13">
        <f>N158*VLOOKUP('Données projet'!$B$9,Paramètres!$A$1:$I$89,3,0)*VLOOKUP('Données projet'!$B$9,Paramètres!$A$1:$I$89,5,0)</f>
        <v>372.06000000000029</v>
      </c>
      <c r="P158" s="13">
        <f t="shared" si="141"/>
        <v>86.088609967897526</v>
      </c>
      <c r="Q158" s="20">
        <f t="shared" si="162"/>
        <v>797.94216236075533</v>
      </c>
      <c r="R158" s="59">
        <f t="shared" si="109"/>
        <v>1091.2754956940887</v>
      </c>
      <c r="S158" s="59">
        <f ca="1">AVERAGE(OFFSET($R$3,0,0,'Données projet'!$E$9+1,1))-AVERAGE(OFFSET($H$3,0,0,'Données projet'!$E$9+1,1))</f>
        <v>379.12827535040157</v>
      </c>
      <c r="T158" s="59">
        <f t="shared" si="142"/>
        <v>317.29813413796956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29.112832917545983</v>
      </c>
      <c r="AA158" s="21">
        <f>EXP(-LN(2)/25)*AA157+(1-EXP(-LN(2)/25))/(LN(2)/25)*Calculateur!V158*Calculateur!X158*VLOOKUP('Données projet'!$B$9,Paramètres!$A$1:$I$89,3,0)*0.475*44/12</f>
        <v>1.3916853475558455</v>
      </c>
      <c r="AB158" s="21">
        <f>EXP(-LN(2)/2)*AB157+(1-EXP(-LN(2)/2))/(LN(2)/2)*V158*Y158*VLOOKUP('Données projet'!$B$9,Paramètres!$A$1:$I$89,3,0)*0.475*44/12</f>
        <v>6.6013085570436462E-20</v>
      </c>
      <c r="AC158" s="22">
        <f t="shared" si="163"/>
        <v>30.504518265101829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311.298</v>
      </c>
      <c r="AK158" s="13">
        <f t="shared" si="164"/>
        <v>73.539838278528748</v>
      </c>
      <c r="AL158" s="20">
        <f t="shared" si="165"/>
        <v>670.25923500177089</v>
      </c>
      <c r="AM158" s="59">
        <f t="shared" si="113"/>
        <v>963.59256833510426</v>
      </c>
      <c r="AN158" s="59">
        <f ca="1">AVERAGE(OFFSET($AM$3,0,0,'Données projet'!$E$10+1,1))-AVERAGE(OFFSET($H$3,0,0,'Données projet'!$E$10+1,1))</f>
        <v>392.48436003609055</v>
      </c>
      <c r="AO158" s="59">
        <f t="shared" si="144"/>
        <v>236.3312446580419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50.801142891215726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50.801142891215726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404.99999999999989</v>
      </c>
      <c r="BE158" s="13">
        <f>BD158*VLOOKUP('Données projet'!$B$11,Paramètres!$A$1:$I$89,3,0)*VLOOKUP('Données projet'!$B$11,Paramètres!$A$1:$I$89,5,0)</f>
        <v>347.4899999999999</v>
      </c>
      <c r="BF158" s="13">
        <f t="shared" si="167"/>
        <v>81.045459877391451</v>
      </c>
      <c r="BG158" s="20">
        <f t="shared" si="168"/>
        <v>746.36592595312322</v>
      </c>
      <c r="BH158" s="59">
        <f t="shared" si="116"/>
        <v>1039.6992592864565</v>
      </c>
      <c r="BI158" s="59">
        <f ca="1">AVERAGE(OFFSET($BH$3,0,0,'Données projet'!$E$11+1,1))-AVERAGE(OFFSET($H$3,0,0,'Données projet'!$E$11+1,1))</f>
        <v>352.61091660077574</v>
      </c>
      <c r="BJ158" s="59">
        <f t="shared" si="146"/>
        <v>186.48649111821521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49.750202894108554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49.750202894108554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795.00000000000068</v>
      </c>
      <c r="O159" s="13">
        <f>N159*VLOOKUP('Données projet'!$B$9,Paramètres!$A$1:$I$89,3,0)*VLOOKUP('Données projet'!$B$9,Paramètres!$A$1:$I$89,5,0)</f>
        <v>372.06000000000029</v>
      </c>
      <c r="P159" s="13">
        <f t="shared" si="141"/>
        <v>86.088609967897526</v>
      </c>
      <c r="Q159" s="20">
        <f t="shared" si="162"/>
        <v>797.94216236075533</v>
      </c>
      <c r="R159" s="59">
        <f t="shared" si="109"/>
        <v>1091.2754956940887</v>
      </c>
      <c r="S159" s="59">
        <f ca="1">AVERAGE(OFFSET($R$3,0,0,'Données projet'!$E$9+1,1))-AVERAGE(OFFSET($H$3,0,0,'Données projet'!$E$9+1,1))</f>
        <v>379.12827535040157</v>
      </c>
      <c r="T159" s="59">
        <f t="shared" si="142"/>
        <v>317.29813413796956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28.541948021107622</v>
      </c>
      <c r="AA159" s="21">
        <f>EXP(-LN(2)/25)*AA158+(1-EXP(-LN(2)/25))/(LN(2)/25)*Calculateur!V159*Calculateur!X159*VLOOKUP('Données projet'!$B$9,Paramètres!$A$1:$I$89,3,0)*0.475*44/12</f>
        <v>1.3536296385413793</v>
      </c>
      <c r="AB159" s="21">
        <f>EXP(-LN(2)/2)*AB158+(1-EXP(-LN(2)/2))/(LN(2)/2)*V159*Y159*VLOOKUP('Données projet'!$B$9,Paramètres!$A$1:$I$89,3,0)*0.475*44/12</f>
        <v>4.6678300453903453E-20</v>
      </c>
      <c r="AC159" s="22">
        <f t="shared" si="163"/>
        <v>29.895577659649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311.298</v>
      </c>
      <c r="AK159" s="13">
        <f t="shared" si="164"/>
        <v>73.539838278528748</v>
      </c>
      <c r="AL159" s="20">
        <f t="shared" si="165"/>
        <v>670.25923500177089</v>
      </c>
      <c r="AM159" s="59">
        <f t="shared" si="113"/>
        <v>963.59256833510426</v>
      </c>
      <c r="AN159" s="59">
        <f ca="1">AVERAGE(OFFSET($AM$3,0,0,'Données projet'!$E$10+1,1))-AVERAGE(OFFSET($H$3,0,0,'Données projet'!$E$10+1,1))</f>
        <v>392.48436003609055</v>
      </c>
      <c r="AO159" s="59">
        <f t="shared" si="144"/>
        <v>236.3312446580419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49.804963464756568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49.804963464756568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404.99999999999989</v>
      </c>
      <c r="BE159" s="13">
        <f>BD159*VLOOKUP('Données projet'!$B$11,Paramètres!$A$1:$I$89,3,0)*VLOOKUP('Données projet'!$B$11,Paramètres!$A$1:$I$89,5,0)</f>
        <v>347.4899999999999</v>
      </c>
      <c r="BF159" s="13">
        <f t="shared" si="167"/>
        <v>81.045459877391451</v>
      </c>
      <c r="BG159" s="20">
        <f t="shared" si="168"/>
        <v>746.36592595312322</v>
      </c>
      <c r="BH159" s="59">
        <f t="shared" si="116"/>
        <v>1039.6992592864565</v>
      </c>
      <c r="BI159" s="59">
        <f ca="1">AVERAGE(OFFSET($BH$3,0,0,'Données projet'!$E$11+1,1))-AVERAGE(OFFSET($H$3,0,0,'Données projet'!$E$11+1,1))</f>
        <v>352.61091660077574</v>
      </c>
      <c r="BJ159" s="59">
        <f t="shared" si="146"/>
        <v>186.48649111821521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48.774631759982569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48.774631759982569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795.00000000000068</v>
      </c>
      <c r="O160" s="13">
        <f>N160*VLOOKUP('Données projet'!$B$9,Paramètres!$A$1:$I$89,3,0)*VLOOKUP('Données projet'!$B$9,Paramètres!$A$1:$I$89,5,0)</f>
        <v>372.06000000000029</v>
      </c>
      <c r="P160" s="13">
        <f t="shared" si="141"/>
        <v>86.088609967897526</v>
      </c>
      <c r="Q160" s="20">
        <f t="shared" si="162"/>
        <v>797.94216236075533</v>
      </c>
      <c r="R160" s="59">
        <f t="shared" si="109"/>
        <v>1091.2754956940887</v>
      </c>
      <c r="S160" s="59">
        <f ca="1">AVERAGE(OFFSET($R$3,0,0,'Données projet'!$E$9+1,1))-AVERAGE(OFFSET($H$3,0,0,'Données projet'!$E$9+1,1))</f>
        <v>379.12827535040157</v>
      </c>
      <c r="T160" s="59">
        <f t="shared" si="142"/>
        <v>317.29813413796956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27.982257829283011</v>
      </c>
      <c r="AA160" s="21">
        <f>EXP(-LN(2)/25)*AA159+(1-EXP(-LN(2)/25))/(LN(2)/25)*Calculateur!V160*Calculateur!X160*VLOOKUP('Données projet'!$B$9,Paramètres!$A$1:$I$89,3,0)*0.475*44/12</f>
        <v>1.3166145648911765</v>
      </c>
      <c r="AB160" s="21">
        <f>EXP(-LN(2)/2)*AB159+(1-EXP(-LN(2)/2))/(LN(2)/2)*V160*Y160*VLOOKUP('Données projet'!$B$9,Paramètres!$A$1:$I$89,3,0)*0.475*44/12</f>
        <v>3.3006542785218231E-20</v>
      </c>
      <c r="AC160" s="22">
        <f t="shared" si="163"/>
        <v>29.298872394174186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311.298</v>
      </c>
      <c r="AK160" s="13">
        <f t="shared" si="164"/>
        <v>73.539838278528748</v>
      </c>
      <c r="AL160" s="20">
        <f t="shared" si="165"/>
        <v>670.25923500177089</v>
      </c>
      <c r="AM160" s="59">
        <f t="shared" si="113"/>
        <v>963.59256833510426</v>
      </c>
      <c r="AN160" s="59">
        <f ca="1">AVERAGE(OFFSET($AM$3,0,0,'Données projet'!$E$10+1,1))-AVERAGE(OFFSET($H$3,0,0,'Données projet'!$E$10+1,1))</f>
        <v>392.48436003609055</v>
      </c>
      <c r="AO160" s="59">
        <f t="shared" si="144"/>
        <v>236.3312446580419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48.828318509240823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48.828318509240823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404.99999999999989</v>
      </c>
      <c r="BE160" s="13">
        <f>BD160*VLOOKUP('Données projet'!$B$11,Paramètres!$A$1:$I$89,3,0)*VLOOKUP('Données projet'!$B$11,Paramètres!$A$1:$I$89,5,0)</f>
        <v>347.4899999999999</v>
      </c>
      <c r="BF160" s="13">
        <f t="shared" si="167"/>
        <v>81.045459877391451</v>
      </c>
      <c r="BG160" s="20">
        <f t="shared" si="168"/>
        <v>746.36592595312322</v>
      </c>
      <c r="BH160" s="59">
        <f t="shared" si="116"/>
        <v>1039.6992592864565</v>
      </c>
      <c r="BI160" s="59">
        <f ca="1">AVERAGE(OFFSET($BH$3,0,0,'Données projet'!$E$11+1,1))-AVERAGE(OFFSET($H$3,0,0,'Données projet'!$E$11+1,1))</f>
        <v>352.61091660077574</v>
      </c>
      <c r="BJ160" s="59">
        <f t="shared" si="146"/>
        <v>186.48649111821521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47.818190980757159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47.818190980757159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795.00000000000068</v>
      </c>
      <c r="O161" s="13">
        <f>N161*VLOOKUP('Données projet'!$B$9,Paramètres!$A$1:$I$89,3,0)*VLOOKUP('Données projet'!$B$9,Paramètres!$A$1:$I$89,5,0)</f>
        <v>372.06000000000029</v>
      </c>
      <c r="P161" s="13">
        <f t="shared" si="141"/>
        <v>86.088609967897526</v>
      </c>
      <c r="Q161" s="20">
        <f t="shared" si="162"/>
        <v>797.94216236075533</v>
      </c>
      <c r="R161" s="59">
        <f t="shared" si="109"/>
        <v>1091.2754956940887</v>
      </c>
      <c r="S161" s="59">
        <f ca="1">AVERAGE(OFFSET($R$3,0,0,'Données projet'!$E$9+1,1))-AVERAGE(OFFSET($H$3,0,0,'Données projet'!$E$9+1,1))</f>
        <v>379.12827535040157</v>
      </c>
      <c r="T161" s="59">
        <f t="shared" si="142"/>
        <v>317.29813413796956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27.433542820742773</v>
      </c>
      <c r="AA161" s="21">
        <f>EXP(-LN(2)/25)*AA160+(1-EXP(-LN(2)/25))/(LN(2)/25)*Calculateur!V161*Calculateur!X161*VLOOKUP('Données projet'!$B$9,Paramètres!$A$1:$I$89,3,0)*0.475*44/12</f>
        <v>1.2806116703764765</v>
      </c>
      <c r="AB161" s="21">
        <f>EXP(-LN(2)/2)*AB160+(1-EXP(-LN(2)/2))/(LN(2)/2)*V161*Y161*VLOOKUP('Données projet'!$B$9,Paramètres!$A$1:$I$89,3,0)*0.475*44/12</f>
        <v>2.3339150226951727E-20</v>
      </c>
      <c r="AC161" s="22">
        <f t="shared" si="163"/>
        <v>28.714154491119249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311.298</v>
      </c>
      <c r="AK161" s="13">
        <f t="shared" si="164"/>
        <v>73.539838278528748</v>
      </c>
      <c r="AL161" s="20">
        <f t="shared" si="165"/>
        <v>670.25923500177089</v>
      </c>
      <c r="AM161" s="59">
        <f t="shared" si="113"/>
        <v>963.59256833510426</v>
      </c>
      <c r="AN161" s="59">
        <f ca="1">AVERAGE(OFFSET($AM$3,0,0,'Données projet'!$E$10+1,1))-AVERAGE(OFFSET($H$3,0,0,'Données projet'!$E$10+1,1))</f>
        <v>392.48436003609055</v>
      </c>
      <c r="AO161" s="59">
        <f t="shared" si="144"/>
        <v>236.3312446580419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47.870824965608143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47.870824965608143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404.99999999999989</v>
      </c>
      <c r="BE161" s="13">
        <f>BD161*VLOOKUP('Données projet'!$B$11,Paramètres!$A$1:$I$89,3,0)*VLOOKUP('Données projet'!$B$11,Paramètres!$A$1:$I$89,5,0)</f>
        <v>347.4899999999999</v>
      </c>
      <c r="BF161" s="13">
        <f t="shared" si="167"/>
        <v>81.045459877391451</v>
      </c>
      <c r="BG161" s="20">
        <f t="shared" si="168"/>
        <v>746.36592595312322</v>
      </c>
      <c r="BH161" s="59">
        <f t="shared" si="116"/>
        <v>1039.6992592864565</v>
      </c>
      <c r="BI161" s="59">
        <f ca="1">AVERAGE(OFFSET($BH$3,0,0,'Données projet'!$E$11+1,1))-AVERAGE(OFFSET($H$3,0,0,'Données projet'!$E$11+1,1))</f>
        <v>352.61091660077574</v>
      </c>
      <c r="BJ161" s="59">
        <f t="shared" si="146"/>
        <v>186.48649111821521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46.880505421841086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46.880505421841086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795.00000000000068</v>
      </c>
      <c r="O162" s="13">
        <f>N162*VLOOKUP('Données projet'!$B$9,Paramètres!$A$1:$I$89,3,0)*VLOOKUP('Données projet'!$B$9,Paramètres!$A$1:$I$89,5,0)</f>
        <v>372.06000000000029</v>
      </c>
      <c r="P162" s="13">
        <f t="shared" si="141"/>
        <v>86.088609967897526</v>
      </c>
      <c r="Q162" s="20">
        <f t="shared" si="162"/>
        <v>797.94216236075533</v>
      </c>
      <c r="R162" s="59">
        <f t="shared" si="109"/>
        <v>1091.2754956940887</v>
      </c>
      <c r="S162" s="59">
        <f ca="1">AVERAGE(OFFSET($R$3,0,0,'Données projet'!$E$9+1,1))-AVERAGE(OFFSET($H$3,0,0,'Données projet'!$E$9+1,1))</f>
        <v>379.12827535040157</v>
      </c>
      <c r="T162" s="59">
        <f t="shared" si="142"/>
        <v>317.29813413796956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26.895587778836898</v>
      </c>
      <c r="AA162" s="21">
        <f>EXP(-LN(2)/25)*AA161+(1-EXP(-LN(2)/25))/(LN(2)/25)*Calculateur!V162*Calculateur!X162*VLOOKUP('Données projet'!$B$9,Paramètres!$A$1:$I$89,3,0)*0.475*44/12</f>
        <v>1.2455932769055909</v>
      </c>
      <c r="AB162" s="21">
        <f>EXP(-LN(2)/2)*AB161+(1-EXP(-LN(2)/2))/(LN(2)/2)*V162*Y162*VLOOKUP('Données projet'!$B$9,Paramètres!$A$1:$I$89,3,0)*0.475*44/12</f>
        <v>1.6503271392609115E-20</v>
      </c>
      <c r="AC162" s="22">
        <f t="shared" si="163"/>
        <v>28.141181055742489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311.298</v>
      </c>
      <c r="AK162" s="13">
        <f t="shared" si="164"/>
        <v>73.539838278528748</v>
      </c>
      <c r="AL162" s="20">
        <f t="shared" si="165"/>
        <v>670.25923500177089</v>
      </c>
      <c r="AM162" s="59">
        <f t="shared" si="113"/>
        <v>963.59256833510426</v>
      </c>
      <c r="AN162" s="59">
        <f ca="1">AVERAGE(OFFSET($AM$3,0,0,'Données projet'!$E$10+1,1))-AVERAGE(OFFSET($H$3,0,0,'Données projet'!$E$10+1,1))</f>
        <v>392.48436003609055</v>
      </c>
      <c r="AO162" s="59">
        <f t="shared" si="144"/>
        <v>236.3312446580419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46.932107286352704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46.932107286352704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404.99999999999989</v>
      </c>
      <c r="BE162" s="13">
        <f>BD162*VLOOKUP('Données projet'!$B$11,Paramètres!$A$1:$I$89,3,0)*VLOOKUP('Données projet'!$B$11,Paramètres!$A$1:$I$89,5,0)</f>
        <v>347.4899999999999</v>
      </c>
      <c r="BF162" s="13">
        <f t="shared" si="167"/>
        <v>81.045459877391451</v>
      </c>
      <c r="BG162" s="20">
        <f t="shared" si="168"/>
        <v>746.36592595312322</v>
      </c>
      <c r="BH162" s="59">
        <f t="shared" si="116"/>
        <v>1039.6992592864565</v>
      </c>
      <c r="BI162" s="59">
        <f ca="1">AVERAGE(OFFSET($BH$3,0,0,'Données projet'!$E$11+1,1))-AVERAGE(OFFSET($H$3,0,0,'Données projet'!$E$11+1,1))</f>
        <v>352.61091660077574</v>
      </c>
      <c r="BJ162" s="59">
        <f t="shared" si="146"/>
        <v>186.48649111821521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45.961207304803636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45.961207304803636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795.00000000000068</v>
      </c>
      <c r="O163" s="13">
        <f>N163*VLOOKUP('Données projet'!$B$9,Paramètres!$A$1:$I$89,3,0)*VLOOKUP('Données projet'!$B$9,Paramètres!$A$1:$I$89,5,0)</f>
        <v>372.06000000000029</v>
      </c>
      <c r="P163" s="13">
        <f t="shared" si="141"/>
        <v>86.088609967897526</v>
      </c>
      <c r="Q163" s="20">
        <f t="shared" si="162"/>
        <v>797.94216236075533</v>
      </c>
      <c r="R163" s="59">
        <f t="shared" si="109"/>
        <v>1091.2754956940887</v>
      </c>
      <c r="S163" s="59">
        <f ca="1">AVERAGE(OFFSET($R$3,0,0,'Données projet'!$E$9+1,1))-AVERAGE(OFFSET($H$3,0,0,'Données projet'!$E$9+1,1))</f>
        <v>379.12827535040157</v>
      </c>
      <c r="T163" s="59">
        <f t="shared" si="142"/>
        <v>317.29813413796956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26.368181707182622</v>
      </c>
      <c r="AA163" s="21">
        <f>EXP(-LN(2)/25)*AA162+(1-EXP(-LN(2)/25))/(LN(2)/25)*Calculateur!V163*Calculateur!X163*VLOOKUP('Données projet'!$B$9,Paramètres!$A$1:$I$89,3,0)*0.475*44/12</f>
        <v>1.2115324632457039</v>
      </c>
      <c r="AB163" s="21">
        <f>EXP(-LN(2)/2)*AB162+(1-EXP(-LN(2)/2))/(LN(2)/2)*V163*Y163*VLOOKUP('Données projet'!$B$9,Paramètres!$A$1:$I$89,3,0)*0.475*44/12</f>
        <v>1.1669575113475863E-20</v>
      </c>
      <c r="AC163" s="22">
        <f t="shared" si="163"/>
        <v>27.579714170428325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311.298</v>
      </c>
      <c r="AK163" s="13">
        <f t="shared" si="164"/>
        <v>73.539838278528748</v>
      </c>
      <c r="AL163" s="20">
        <f t="shared" si="165"/>
        <v>670.25923500177089</v>
      </c>
      <c r="AM163" s="59">
        <f t="shared" si="113"/>
        <v>963.59256833510426</v>
      </c>
      <c r="AN163" s="59">
        <f ca="1">AVERAGE(OFFSET($AM$3,0,0,'Données projet'!$E$10+1,1))-AVERAGE(OFFSET($H$3,0,0,'Données projet'!$E$10+1,1))</f>
        <v>392.48436003609055</v>
      </c>
      <c r="AO163" s="59">
        <f t="shared" si="144"/>
        <v>236.3312446580419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46.011797288226212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46.011797288226212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404.99999999999989</v>
      </c>
      <c r="BE163" s="13">
        <f>BD163*VLOOKUP('Données projet'!$B$11,Paramètres!$A$1:$I$89,3,0)*VLOOKUP('Données projet'!$B$11,Paramètres!$A$1:$I$89,5,0)</f>
        <v>347.4899999999999</v>
      </c>
      <c r="BF163" s="13">
        <f t="shared" si="167"/>
        <v>81.045459877391451</v>
      </c>
      <c r="BG163" s="20">
        <f t="shared" si="168"/>
        <v>746.36592595312322</v>
      </c>
      <c r="BH163" s="59">
        <f t="shared" si="116"/>
        <v>1039.6992592864565</v>
      </c>
      <c r="BI163" s="59">
        <f ca="1">AVERAGE(OFFSET($BH$3,0,0,'Données projet'!$E$11+1,1))-AVERAGE(OFFSET($H$3,0,0,'Données projet'!$E$11+1,1))</f>
        <v>352.61091660077574</v>
      </c>
      <c r="BJ163" s="59">
        <f t="shared" si="146"/>
        <v>186.48649111821521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45.059936063124809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45.059936063124809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795.00000000000068</v>
      </c>
      <c r="O164" s="13">
        <f>N164*VLOOKUP('Données projet'!$B$9,Paramètres!$A$1:$I$89,3,0)*VLOOKUP('Données projet'!$B$9,Paramètres!$A$1:$I$89,5,0)</f>
        <v>372.06000000000029</v>
      </c>
      <c r="P164" s="13">
        <f t="shared" si="141"/>
        <v>86.088609967897526</v>
      </c>
      <c r="Q164" s="20">
        <f t="shared" si="162"/>
        <v>797.94216236075533</v>
      </c>
      <c r="R164" s="59">
        <f t="shared" si="109"/>
        <v>1091.2754956940887</v>
      </c>
      <c r="S164" s="59">
        <f ca="1">AVERAGE(OFFSET($R$3,0,0,'Données projet'!$E$9+1,1))-AVERAGE(OFFSET($H$3,0,0,'Données projet'!$E$9+1,1))</f>
        <v>379.12827535040157</v>
      </c>
      <c r="T164" s="59">
        <f t="shared" si="142"/>
        <v>317.29813413796956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25.851117746907548</v>
      </c>
      <c r="AA164" s="21">
        <f>EXP(-LN(2)/25)*AA163+(1-EXP(-LN(2)/25))/(LN(2)/25)*Calculateur!V164*Calculateur!X164*VLOOKUP('Données projet'!$B$9,Paramètres!$A$1:$I$89,3,0)*0.475*44/12</f>
        <v>1.1784030443265268</v>
      </c>
      <c r="AB164" s="21">
        <f>EXP(-LN(2)/2)*AB163+(1-EXP(-LN(2)/2))/(LN(2)/2)*V164*Y164*VLOOKUP('Données projet'!$B$9,Paramètres!$A$1:$I$89,3,0)*0.475*44/12</f>
        <v>8.2516356963045577E-21</v>
      </c>
      <c r="AC164" s="22">
        <f t="shared" si="163"/>
        <v>27.029520791234074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311.298</v>
      </c>
      <c r="AK164" s="13">
        <f t="shared" si="164"/>
        <v>73.539838278528748</v>
      </c>
      <c r="AL164" s="20">
        <f t="shared" si="165"/>
        <v>670.25923500177089</v>
      </c>
      <c r="AM164" s="59">
        <f t="shared" si="113"/>
        <v>963.59256833510426</v>
      </c>
      <c r="AN164" s="59">
        <f ca="1">AVERAGE(OFFSET($AM$3,0,0,'Données projet'!$E$10+1,1))-AVERAGE(OFFSET($H$3,0,0,'Données projet'!$E$10+1,1))</f>
        <v>392.48436003609055</v>
      </c>
      <c r="AO164" s="59">
        <f t="shared" si="144"/>
        <v>236.3312446580419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45.109534007829311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45.109534007829311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404.99999999999989</v>
      </c>
      <c r="BE164" s="13">
        <f>BD164*VLOOKUP('Données projet'!$B$11,Paramètres!$A$1:$I$89,3,0)*VLOOKUP('Données projet'!$B$11,Paramètres!$A$1:$I$89,5,0)</f>
        <v>347.4899999999999</v>
      </c>
      <c r="BF164" s="13">
        <f t="shared" si="167"/>
        <v>81.045459877391451</v>
      </c>
      <c r="BG164" s="20">
        <f t="shared" si="168"/>
        <v>746.36592595312322</v>
      </c>
      <c r="BH164" s="59">
        <f t="shared" si="116"/>
        <v>1039.6992592864565</v>
      </c>
      <c r="BI164" s="59">
        <f ca="1">AVERAGE(OFFSET($BH$3,0,0,'Données projet'!$E$11+1,1))-AVERAGE(OFFSET($H$3,0,0,'Données projet'!$E$11+1,1))</f>
        <v>352.61091660077574</v>
      </c>
      <c r="BJ164" s="59">
        <f t="shared" si="146"/>
        <v>186.48649111821521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44.176338200774126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44.176338200774126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795.00000000000068</v>
      </c>
      <c r="O165" s="13">
        <f>N165*VLOOKUP('Données projet'!$B$9,Paramètres!$A$1:$I$89,3,0)*VLOOKUP('Données projet'!$B$9,Paramètres!$A$1:$I$89,5,0)</f>
        <v>372.06000000000029</v>
      </c>
      <c r="P165" s="13">
        <f t="shared" si="141"/>
        <v>86.088609967897526</v>
      </c>
      <c r="Q165" s="20">
        <f t="shared" si="162"/>
        <v>797.94216236075533</v>
      </c>
      <c r="R165" s="59">
        <f t="shared" si="109"/>
        <v>1091.2754956940887</v>
      </c>
      <c r="S165" s="59">
        <f ca="1">AVERAGE(OFFSET($R$3,0,0,'Données projet'!$E$9+1,1))-AVERAGE(OFFSET($H$3,0,0,'Données projet'!$E$9+1,1))</f>
        <v>379.12827535040157</v>
      </c>
      <c r="T165" s="59">
        <f t="shared" si="142"/>
        <v>317.29813413796956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25.344193095515593</v>
      </c>
      <c r="AA165" s="21">
        <f>EXP(-LN(2)/25)*AA164+(1-EXP(-LN(2)/25))/(LN(2)/25)*Calculateur!V165*Calculateur!X165*VLOOKUP('Données projet'!$B$9,Paramètres!$A$1:$I$89,3,0)*0.475*44/12</f>
        <v>1.1461795511098951</v>
      </c>
      <c r="AB165" s="21">
        <f>EXP(-LN(2)/2)*AB164+(1-EXP(-LN(2)/2))/(LN(2)/2)*V165*Y165*VLOOKUP('Données projet'!$B$9,Paramètres!$A$1:$I$89,3,0)*0.475*44/12</f>
        <v>5.8347875567379317E-21</v>
      </c>
      <c r="AC165" s="22">
        <f t="shared" si="163"/>
        <v>26.490372646625488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311.298</v>
      </c>
      <c r="AK165" s="13">
        <f t="shared" si="164"/>
        <v>73.539838278528748</v>
      </c>
      <c r="AL165" s="20">
        <f t="shared" si="165"/>
        <v>670.25923500177089</v>
      </c>
      <c r="AM165" s="59">
        <f t="shared" si="113"/>
        <v>963.59256833510426</v>
      </c>
      <c r="AN165" s="59">
        <f ca="1">AVERAGE(OFFSET($AM$3,0,0,'Données projet'!$E$10+1,1))-AVERAGE(OFFSET($H$3,0,0,'Données projet'!$E$10+1,1))</f>
        <v>392.48436003609055</v>
      </c>
      <c r="AO165" s="59">
        <f t="shared" si="144"/>
        <v>236.3312446580419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44.22496356003473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44.22496356003473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404.99999999999989</v>
      </c>
      <c r="BE165" s="13">
        <f>BD165*VLOOKUP('Données projet'!$B$11,Paramètres!$A$1:$I$89,3,0)*VLOOKUP('Données projet'!$B$11,Paramètres!$A$1:$I$89,5,0)</f>
        <v>347.4899999999999</v>
      </c>
      <c r="BF165" s="13">
        <f t="shared" si="167"/>
        <v>81.045459877391451</v>
      </c>
      <c r="BG165" s="20">
        <f t="shared" si="168"/>
        <v>746.36592595312322</v>
      </c>
      <c r="BH165" s="59">
        <f t="shared" si="116"/>
        <v>1039.6992592864565</v>
      </c>
      <c r="BI165" s="59">
        <f ca="1">AVERAGE(OFFSET($BH$3,0,0,'Données projet'!$E$11+1,1))-AVERAGE(OFFSET($H$3,0,0,'Données projet'!$E$11+1,1))</f>
        <v>352.61091660077574</v>
      </c>
      <c r="BJ165" s="59">
        <f t="shared" si="146"/>
        <v>186.48649111821521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43.310067153562656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43.310067153562656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795.00000000000068</v>
      </c>
      <c r="O166" s="13">
        <f>N166*VLOOKUP('Données projet'!$B$9,Paramètres!$A$1:$I$89,3,0)*VLOOKUP('Données projet'!$B$9,Paramètres!$A$1:$I$89,5,0)</f>
        <v>372.06000000000029</v>
      </c>
      <c r="P166" s="13">
        <f t="shared" si="141"/>
        <v>86.088609967897526</v>
      </c>
      <c r="Q166" s="20">
        <f t="shared" si="162"/>
        <v>797.94216236075533</v>
      </c>
      <c r="R166" s="59">
        <f t="shared" si="109"/>
        <v>1091.2754956940887</v>
      </c>
      <c r="S166" s="59">
        <f ca="1">AVERAGE(OFFSET($R$3,0,0,'Données projet'!$E$9+1,1))-AVERAGE(OFFSET($H$3,0,0,'Données projet'!$E$9+1,1))</f>
        <v>379.12827535040157</v>
      </c>
      <c r="T166" s="59">
        <f t="shared" si="142"/>
        <v>317.29813413796956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24.847208927343928</v>
      </c>
      <c r="AA166" s="21">
        <f>EXP(-LN(2)/25)*AA165+(1-EXP(-LN(2)/25))/(LN(2)/25)*Calculateur!V166*Calculateur!X166*VLOOKUP('Données projet'!$B$9,Paramètres!$A$1:$I$89,3,0)*0.475*44/12</f>
        <v>1.1148372110098321</v>
      </c>
      <c r="AB166" s="21">
        <f>EXP(-LN(2)/2)*AB165+(1-EXP(-LN(2)/2))/(LN(2)/2)*V166*Y166*VLOOKUP('Données projet'!$B$9,Paramètres!$A$1:$I$89,3,0)*0.475*44/12</f>
        <v>4.1258178481522789E-21</v>
      </c>
      <c r="AC166" s="22">
        <f t="shared" si="163"/>
        <v>25.96204613835376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311.298</v>
      </c>
      <c r="AK166" s="13">
        <f t="shared" si="164"/>
        <v>73.539838278528748</v>
      </c>
      <c r="AL166" s="20">
        <f t="shared" si="165"/>
        <v>670.25923500177089</v>
      </c>
      <c r="AM166" s="59">
        <f t="shared" si="113"/>
        <v>963.59256833510426</v>
      </c>
      <c r="AN166" s="59">
        <f ca="1">AVERAGE(OFFSET($AM$3,0,0,'Données projet'!$E$10+1,1))-AVERAGE(OFFSET($H$3,0,0,'Données projet'!$E$10+1,1))</f>
        <v>392.48436003609055</v>
      </c>
      <c r="AO166" s="59">
        <f t="shared" si="144"/>
        <v>236.3312446580419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43.357738999186701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43.357738999186701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404.99999999999989</v>
      </c>
      <c r="BE166" s="13">
        <f>BD166*VLOOKUP('Données projet'!$B$11,Paramètres!$A$1:$I$89,3,0)*VLOOKUP('Données projet'!$B$11,Paramètres!$A$1:$I$89,5,0)</f>
        <v>347.4899999999999</v>
      </c>
      <c r="BF166" s="13">
        <f t="shared" si="167"/>
        <v>81.045459877391451</v>
      </c>
      <c r="BG166" s="20">
        <f t="shared" si="168"/>
        <v>746.36592595312322</v>
      </c>
      <c r="BH166" s="59">
        <f t="shared" si="116"/>
        <v>1039.6992592864565</v>
      </c>
      <c r="BI166" s="59">
        <f ca="1">AVERAGE(OFFSET($BH$3,0,0,'Données projet'!$E$11+1,1))-AVERAGE(OFFSET($H$3,0,0,'Données projet'!$E$11+1,1))</f>
        <v>352.61091660077574</v>
      </c>
      <c r="BJ166" s="59">
        <f t="shared" si="146"/>
        <v>186.48649111821521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42.460783153213839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42.460783153213839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795.00000000000068</v>
      </c>
      <c r="O167" s="13">
        <f>N167*VLOOKUP('Données projet'!$B$9,Paramètres!$A$1:$I$89,3,0)*VLOOKUP('Données projet'!$B$9,Paramètres!$A$1:$I$89,5,0)</f>
        <v>372.06000000000029</v>
      </c>
      <c r="P167" s="13">
        <f t="shared" si="141"/>
        <v>86.088609967897526</v>
      </c>
      <c r="Q167" s="20">
        <f t="shared" si="162"/>
        <v>797.94216236075533</v>
      </c>
      <c r="R167" s="59">
        <f t="shared" si="109"/>
        <v>1091.2754956940887</v>
      </c>
      <c r="S167" s="59">
        <f ca="1">AVERAGE(OFFSET($R$3,0,0,'Données projet'!$E$9+1,1))-AVERAGE(OFFSET($H$3,0,0,'Données projet'!$E$9+1,1))</f>
        <v>379.12827535040157</v>
      </c>
      <c r="T167" s="59">
        <f t="shared" si="142"/>
        <v>317.29813413796956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24.359970315579698</v>
      </c>
      <c r="AA167" s="21">
        <f>EXP(-LN(2)/25)*AA166+(1-EXP(-LN(2)/25))/(LN(2)/25)*Calculateur!V167*Calculateur!X167*VLOOKUP('Données projet'!$B$9,Paramètres!$A$1:$I$89,3,0)*0.475*44/12</f>
        <v>1.0843519288480274</v>
      </c>
      <c r="AB167" s="21">
        <f>EXP(-LN(2)/2)*AB166+(1-EXP(-LN(2)/2))/(LN(2)/2)*V167*Y167*VLOOKUP('Données projet'!$B$9,Paramètres!$A$1:$I$89,3,0)*0.475*44/12</f>
        <v>2.9173937783689658E-21</v>
      </c>
      <c r="AC167" s="22">
        <f t="shared" si="163"/>
        <v>25.444322244427724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311.298</v>
      </c>
      <c r="AK167" s="13">
        <f t="shared" si="164"/>
        <v>73.539838278528748</v>
      </c>
      <c r="AL167" s="20">
        <f t="shared" si="165"/>
        <v>670.25923500177089</v>
      </c>
      <c r="AM167" s="59">
        <f t="shared" si="113"/>
        <v>963.59256833510426</v>
      </c>
      <c r="AN167" s="59">
        <f ca="1">AVERAGE(OFFSET($AM$3,0,0,'Données projet'!$E$10+1,1))-AVERAGE(OFFSET($H$3,0,0,'Données projet'!$E$10+1,1))</f>
        <v>392.48436003609055</v>
      </c>
      <c r="AO167" s="59">
        <f t="shared" si="144"/>
        <v>236.3312446580419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42.507520183022152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42.507520183022152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404.99999999999989</v>
      </c>
      <c r="BE167" s="13">
        <f>BD167*VLOOKUP('Données projet'!$B$11,Paramètres!$A$1:$I$89,3,0)*VLOOKUP('Données projet'!$B$11,Paramètres!$A$1:$I$89,5,0)</f>
        <v>347.4899999999999</v>
      </c>
      <c r="BF167" s="13">
        <f t="shared" si="167"/>
        <v>81.045459877391451</v>
      </c>
      <c r="BG167" s="20">
        <f t="shared" si="168"/>
        <v>746.36592595312322</v>
      </c>
      <c r="BH167" s="59">
        <f t="shared" si="116"/>
        <v>1039.6992592864565</v>
      </c>
      <c r="BI167" s="59">
        <f ca="1">AVERAGE(OFFSET($BH$3,0,0,'Données projet'!$E$11+1,1))-AVERAGE(OFFSET($H$3,0,0,'Données projet'!$E$11+1,1))</f>
        <v>352.61091660077574</v>
      </c>
      <c r="BJ167" s="59">
        <f t="shared" si="146"/>
        <v>186.48649111821521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41.628153094099773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41.628153094099773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795.00000000000068</v>
      </c>
      <c r="O168" s="13">
        <f>N168*VLOOKUP('Données projet'!$B$9,Paramètres!$A$1:$I$89,3,0)*VLOOKUP('Données projet'!$B$9,Paramètres!$A$1:$I$89,5,0)</f>
        <v>372.06000000000029</v>
      </c>
      <c r="P168" s="13">
        <f t="shared" si="141"/>
        <v>86.088609967897526</v>
      </c>
      <c r="Q168" s="20">
        <f t="shared" si="162"/>
        <v>797.94216236075533</v>
      </c>
      <c r="R168" s="59">
        <f t="shared" si="109"/>
        <v>1091.2754956940887</v>
      </c>
      <c r="S168" s="59">
        <f ca="1">AVERAGE(OFFSET($R$3,0,0,'Données projet'!$E$9+1,1))-AVERAGE(OFFSET($H$3,0,0,'Données projet'!$E$9+1,1))</f>
        <v>379.12827535040157</v>
      </c>
      <c r="T168" s="59">
        <f t="shared" si="142"/>
        <v>317.29813413796956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23.882286155805957</v>
      </c>
      <c r="AA168" s="21">
        <f>EXP(-LN(2)/25)*AA167+(1-EXP(-LN(2)/25))/(LN(2)/25)*Calculateur!V168*Calculateur!X168*VLOOKUP('Données projet'!$B$9,Paramètres!$A$1:$I$89,3,0)*0.475*44/12</f>
        <v>1.0547002683300886</v>
      </c>
      <c r="AB168" s="21">
        <f>EXP(-LN(2)/2)*AB167+(1-EXP(-LN(2)/2))/(LN(2)/2)*V168*Y168*VLOOKUP('Données projet'!$B$9,Paramètres!$A$1:$I$89,3,0)*0.475*44/12</f>
        <v>2.0629089240761394E-21</v>
      </c>
      <c r="AC168" s="22">
        <f t="shared" si="163"/>
        <v>24.936986424136045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311.298</v>
      </c>
      <c r="AK168" s="13">
        <f t="shared" si="164"/>
        <v>73.539838278528748</v>
      </c>
      <c r="AL168" s="20">
        <f t="shared" si="165"/>
        <v>670.25923500177089</v>
      </c>
      <c r="AM168" s="59">
        <f t="shared" si="113"/>
        <v>963.59256833510426</v>
      </c>
      <c r="AN168" s="59">
        <f ca="1">AVERAGE(OFFSET($AM$3,0,0,'Données projet'!$E$10+1,1))-AVERAGE(OFFSET($H$3,0,0,'Données projet'!$E$10+1,1))</f>
        <v>392.48436003609055</v>
      </c>
      <c r="AO168" s="59">
        <f t="shared" si="144"/>
        <v>236.3312446580419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41.673973639260318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41.673973639260318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404.99999999999989</v>
      </c>
      <c r="BE168" s="13">
        <f>BD168*VLOOKUP('Données projet'!$B$11,Paramètres!$A$1:$I$89,3,0)*VLOOKUP('Données projet'!$B$11,Paramètres!$A$1:$I$89,5,0)</f>
        <v>347.4899999999999</v>
      </c>
      <c r="BF168" s="13">
        <f t="shared" si="167"/>
        <v>81.045459877391451</v>
      </c>
      <c r="BG168" s="20">
        <f t="shared" si="168"/>
        <v>746.36592595312322</v>
      </c>
      <c r="BH168" s="59">
        <f t="shared" si="116"/>
        <v>1039.6992592864565</v>
      </c>
      <c r="BI168" s="59">
        <f ca="1">AVERAGE(OFFSET($BH$3,0,0,'Données projet'!$E$11+1,1))-AVERAGE(OFFSET($H$3,0,0,'Données projet'!$E$11+1,1))</f>
        <v>352.61091660077574</v>
      </c>
      <c r="BJ168" s="59">
        <f t="shared" si="146"/>
        <v>186.48649111821521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40.811850402590743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40.811850402590743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795.00000000000068</v>
      </c>
      <c r="O169" s="13">
        <f>N169*VLOOKUP('Données projet'!$B$9,Paramètres!$A$1:$I$89,3,0)*VLOOKUP('Données projet'!$B$9,Paramètres!$A$1:$I$89,5,0)</f>
        <v>372.06000000000029</v>
      </c>
      <c r="P169" s="13">
        <f t="shared" si="141"/>
        <v>86.088609967897526</v>
      </c>
      <c r="Q169" s="20">
        <f t="shared" si="162"/>
        <v>797.94216236075533</v>
      </c>
      <c r="R169" s="59">
        <f t="shared" si="109"/>
        <v>1091.2754956940887</v>
      </c>
      <c r="S169" s="59">
        <f ca="1">AVERAGE(OFFSET($R$3,0,0,'Données projet'!$E$9+1,1))-AVERAGE(OFFSET($H$3,0,0,'Données projet'!$E$9+1,1))</f>
        <v>379.12827535040157</v>
      </c>
      <c r="T169" s="59">
        <f t="shared" si="142"/>
        <v>317.29813413796956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23.413969091046809</v>
      </c>
      <c r="AA169" s="21">
        <f>EXP(-LN(2)/25)*AA168+(1-EXP(-LN(2)/25))/(LN(2)/25)*Calculateur!V169*Calculateur!X169*VLOOKUP('Données projet'!$B$9,Paramètres!$A$1:$I$89,3,0)*0.475*44/12</f>
        <v>1.0258594340283258</v>
      </c>
      <c r="AB169" s="21">
        <f>EXP(-LN(2)/2)*AB168+(1-EXP(-LN(2)/2))/(LN(2)/2)*V169*Y169*VLOOKUP('Données projet'!$B$9,Paramètres!$A$1:$I$89,3,0)*0.475*44/12</f>
        <v>1.4586968891844829E-21</v>
      </c>
      <c r="AC169" s="22">
        <f t="shared" si="163"/>
        <v>24.439828525075136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311.298</v>
      </c>
      <c r="AK169" s="13">
        <f t="shared" si="164"/>
        <v>73.539838278528748</v>
      </c>
      <c r="AL169" s="20">
        <f t="shared" si="165"/>
        <v>670.25923500177089</v>
      </c>
      <c r="AM169" s="59">
        <f t="shared" si="113"/>
        <v>963.59256833510426</v>
      </c>
      <c r="AN169" s="59">
        <f ca="1">AVERAGE(OFFSET($AM$3,0,0,'Données projet'!$E$10+1,1))-AVERAGE(OFFSET($H$3,0,0,'Données projet'!$E$10+1,1))</f>
        <v>392.48436003609055</v>
      </c>
      <c r="AO169" s="59">
        <f t="shared" si="144"/>
        <v>236.3312446580419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40.856772434808462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40.856772434808462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404.99999999999989</v>
      </c>
      <c r="BE169" s="13">
        <f>BD169*VLOOKUP('Données projet'!$B$11,Paramètres!$A$1:$I$89,3,0)*VLOOKUP('Données projet'!$B$11,Paramètres!$A$1:$I$89,5,0)</f>
        <v>347.4899999999999</v>
      </c>
      <c r="BF169" s="13">
        <f t="shared" si="167"/>
        <v>81.045459877391451</v>
      </c>
      <c r="BG169" s="20">
        <f t="shared" si="168"/>
        <v>746.36592595312322</v>
      </c>
      <c r="BH169" s="59">
        <f t="shared" si="116"/>
        <v>1039.6992592864565</v>
      </c>
      <c r="BI169" s="59">
        <f ca="1">AVERAGE(OFFSET($BH$3,0,0,'Données projet'!$E$11+1,1))-AVERAGE(OFFSET($H$3,0,0,'Données projet'!$E$11+1,1))</f>
        <v>352.61091660077574</v>
      </c>
      <c r="BJ169" s="59">
        <f t="shared" si="146"/>
        <v>186.48649111821521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40.01155490896673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40.01155490896673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795.00000000000068</v>
      </c>
      <c r="O170" s="13">
        <f>N170*VLOOKUP('Données projet'!$B$9,Paramètres!$A$1:$I$89,3,0)*VLOOKUP('Données projet'!$B$9,Paramètres!$A$1:$I$89,5,0)</f>
        <v>372.06000000000029</v>
      </c>
      <c r="P170" s="13">
        <f t="shared" si="141"/>
        <v>86.088609967897526</v>
      </c>
      <c r="Q170" s="20">
        <f t="shared" si="162"/>
        <v>797.94216236075533</v>
      </c>
      <c r="R170" s="59">
        <f t="shared" si="109"/>
        <v>1091.2754956940887</v>
      </c>
      <c r="S170" s="59">
        <f ca="1">AVERAGE(OFFSET($R$3,0,0,'Données projet'!$E$9+1,1))-AVERAGE(OFFSET($H$3,0,0,'Données projet'!$E$9+1,1))</f>
        <v>379.12827535040157</v>
      </c>
      <c r="T170" s="59">
        <f t="shared" si="142"/>
        <v>317.29813413796956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22.954835438282384</v>
      </c>
      <c r="AA170" s="21">
        <f>EXP(-LN(2)/25)*AA169+(1-EXP(-LN(2)/25))/(LN(2)/25)*Calculateur!V170*Calculateur!X170*VLOOKUP('Données projet'!$B$9,Paramètres!$A$1:$I$89,3,0)*0.475*44/12</f>
        <v>0.99780725385721825</v>
      </c>
      <c r="AB170" s="21">
        <f>EXP(-LN(2)/2)*AB169+(1-EXP(-LN(2)/2))/(LN(2)/2)*V170*Y170*VLOOKUP('Données projet'!$B$9,Paramètres!$A$1:$I$89,3,0)*0.475*44/12</f>
        <v>1.0314544620380697E-21</v>
      </c>
      <c r="AC170" s="22">
        <f t="shared" si="163"/>
        <v>23.952642692139602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311.298</v>
      </c>
      <c r="AK170" s="13">
        <f t="shared" si="164"/>
        <v>73.539838278528748</v>
      </c>
      <c r="AL170" s="20">
        <f t="shared" si="165"/>
        <v>670.25923500177089</v>
      </c>
      <c r="AM170" s="59">
        <f t="shared" si="113"/>
        <v>963.59256833510426</v>
      </c>
      <c r="AN170" s="59">
        <f ca="1">AVERAGE(OFFSET($AM$3,0,0,'Données projet'!$E$10+1,1))-AVERAGE(OFFSET($H$3,0,0,'Données projet'!$E$10+1,1))</f>
        <v>392.48436003609055</v>
      </c>
      <c r="AO170" s="59">
        <f t="shared" si="144"/>
        <v>236.3312446580419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40.05559604753239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40.05559604753239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404.99999999999989</v>
      </c>
      <c r="BE170" s="13">
        <f>BD170*VLOOKUP('Données projet'!$B$11,Paramètres!$A$1:$I$89,3,0)*VLOOKUP('Données projet'!$B$11,Paramètres!$A$1:$I$89,5,0)</f>
        <v>347.4899999999999</v>
      </c>
      <c r="BF170" s="13">
        <f t="shared" si="167"/>
        <v>81.045459877391451</v>
      </c>
      <c r="BG170" s="20">
        <f t="shared" si="168"/>
        <v>746.36592595312322</v>
      </c>
      <c r="BH170" s="59">
        <f t="shared" si="116"/>
        <v>1039.6992592864565</v>
      </c>
      <c r="BI170" s="59">
        <f ca="1">AVERAGE(OFFSET($BH$3,0,0,'Données projet'!$E$11+1,1))-AVERAGE(OFFSET($H$3,0,0,'Données projet'!$E$11+1,1))</f>
        <v>352.61091660077574</v>
      </c>
      <c r="BJ170" s="59">
        <f t="shared" si="146"/>
        <v>186.48649111821521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39.226952721840625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39.226952721840625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795.00000000000068</v>
      </c>
      <c r="O171" s="13">
        <f>N171*VLOOKUP('Données projet'!$B$9,Paramètres!$A$1:$I$89,3,0)*VLOOKUP('Données projet'!$B$9,Paramètres!$A$1:$I$89,5,0)</f>
        <v>372.06000000000029</v>
      </c>
      <c r="P171" s="13">
        <f t="shared" si="141"/>
        <v>86.088609967897526</v>
      </c>
      <c r="Q171" s="20">
        <f t="shared" si="162"/>
        <v>797.94216236075533</v>
      </c>
      <c r="R171" s="59">
        <f t="shared" si="109"/>
        <v>1091.2754956940887</v>
      </c>
      <c r="S171" s="59">
        <f ca="1">AVERAGE(OFFSET($R$3,0,0,'Données projet'!$E$9+1,1))-AVERAGE(OFFSET($H$3,0,0,'Données projet'!$E$9+1,1))</f>
        <v>379.12827535040157</v>
      </c>
      <c r="T171" s="59">
        <f t="shared" si="142"/>
        <v>317.29813413796956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22.504705116404793</v>
      </c>
      <c r="AA171" s="21">
        <f>EXP(-LN(2)/25)*AA170+(1-EXP(-LN(2)/25))/(LN(2)/25)*Calculateur!V171*Calculateur!X171*VLOOKUP('Données projet'!$B$9,Paramètres!$A$1:$I$89,3,0)*0.475*44/12</f>
        <v>0.97052216202808961</v>
      </c>
      <c r="AB171" s="21">
        <f>EXP(-LN(2)/2)*AB170+(1-EXP(-LN(2)/2))/(LN(2)/2)*V171*Y171*VLOOKUP('Données projet'!$B$9,Paramètres!$A$1:$I$89,3,0)*0.475*44/12</f>
        <v>7.2934844459224146E-22</v>
      </c>
      <c r="AC171" s="22">
        <f t="shared" si="163"/>
        <v>23.475227278432882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311.298</v>
      </c>
      <c r="AK171" s="13">
        <f t="shared" si="164"/>
        <v>73.539838278528748</v>
      </c>
      <c r="AL171" s="20">
        <f t="shared" si="165"/>
        <v>670.25923500177089</v>
      </c>
      <c r="AM171" s="59">
        <f t="shared" si="113"/>
        <v>963.59256833510426</v>
      </c>
      <c r="AN171" s="59">
        <f ca="1">AVERAGE(OFFSET($AM$3,0,0,'Données projet'!$E$10+1,1))-AVERAGE(OFFSET($H$3,0,0,'Données projet'!$E$10+1,1))</f>
        <v>392.48436003609055</v>
      </c>
      <c r="AO171" s="59">
        <f t="shared" si="144"/>
        <v>236.3312446580419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39.270130240541455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39.270130240541455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404.99999999999989</v>
      </c>
      <c r="BE171" s="13">
        <f>BD171*VLOOKUP('Données projet'!$B$11,Paramètres!$A$1:$I$89,3,0)*VLOOKUP('Données projet'!$B$11,Paramètres!$A$1:$I$89,5,0)</f>
        <v>347.4899999999999</v>
      </c>
      <c r="BF171" s="13">
        <f t="shared" si="167"/>
        <v>81.045459877391451</v>
      </c>
      <c r="BG171" s="20">
        <f t="shared" si="168"/>
        <v>746.36592595312322</v>
      </c>
      <c r="BH171" s="59">
        <f t="shared" si="116"/>
        <v>1039.6992592864565</v>
      </c>
      <c r="BI171" s="59">
        <f ca="1">AVERAGE(OFFSET($BH$3,0,0,'Données projet'!$E$11+1,1))-AVERAGE(OFFSET($H$3,0,0,'Données projet'!$E$11+1,1))</f>
        <v>352.61091660077574</v>
      </c>
      <c r="BJ171" s="59">
        <f t="shared" si="146"/>
        <v>186.48649111821521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38.457736105043985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38.457736105043985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795.00000000000068</v>
      </c>
      <c r="O172" s="13">
        <f>N172*VLOOKUP('Données projet'!$B$9,Paramètres!$A$1:$I$89,3,0)*VLOOKUP('Données projet'!$B$9,Paramètres!$A$1:$I$89,5,0)</f>
        <v>372.06000000000029</v>
      </c>
      <c r="P172" s="13">
        <f t="shared" si="141"/>
        <v>86.088609967897526</v>
      </c>
      <c r="Q172" s="20">
        <f t="shared" si="162"/>
        <v>797.94216236075533</v>
      </c>
      <c r="R172" s="59">
        <f t="shared" si="109"/>
        <v>1091.2754956940887</v>
      </c>
      <c r="S172" s="59">
        <f ca="1">AVERAGE(OFFSET($R$3,0,0,'Données projet'!$E$9+1,1))-AVERAGE(OFFSET($H$3,0,0,'Données projet'!$E$9+1,1))</f>
        <v>379.12827535040157</v>
      </c>
      <c r="T172" s="59">
        <f t="shared" si="142"/>
        <v>317.29813413796956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22.063401575586834</v>
      </c>
      <c r="AA172" s="21">
        <f>EXP(-LN(2)/25)*AA171+(1-EXP(-LN(2)/25))/(LN(2)/25)*Calculateur!V172*Calculateur!X172*VLOOKUP('Données projet'!$B$9,Paramètres!$A$1:$I$89,3,0)*0.475*44/12</f>
        <v>0.9439831824698891</v>
      </c>
      <c r="AB172" s="21">
        <f>EXP(-LN(2)/2)*AB171+(1-EXP(-LN(2)/2))/(LN(2)/2)*V172*Y172*VLOOKUP('Données projet'!$B$9,Paramètres!$A$1:$I$89,3,0)*0.475*44/12</f>
        <v>5.1572723101903486E-22</v>
      </c>
      <c r="AC172" s="22">
        <f t="shared" si="163"/>
        <v>23.007384758056723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311.298</v>
      </c>
      <c r="AK172" s="13">
        <f t="shared" si="164"/>
        <v>73.539838278528748</v>
      </c>
      <c r="AL172" s="20">
        <f t="shared" si="165"/>
        <v>670.25923500177089</v>
      </c>
      <c r="AM172" s="59">
        <f t="shared" si="113"/>
        <v>963.59256833510426</v>
      </c>
      <c r="AN172" s="59">
        <f ca="1">AVERAGE(OFFSET($AM$3,0,0,'Données projet'!$E$10+1,1))-AVERAGE(OFFSET($H$3,0,0,'Données projet'!$E$10+1,1))</f>
        <v>392.48436003609055</v>
      </c>
      <c r="AO172" s="59">
        <f t="shared" si="144"/>
        <v>236.3312446580419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38.50006693893878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38.50006693893878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404.99999999999989</v>
      </c>
      <c r="BE172" s="13">
        <f>BD172*VLOOKUP('Données projet'!$B$11,Paramètres!$A$1:$I$89,3,0)*VLOOKUP('Données projet'!$B$11,Paramètres!$A$1:$I$89,5,0)</f>
        <v>347.4899999999999</v>
      </c>
      <c r="BF172" s="13">
        <f t="shared" si="167"/>
        <v>81.045459877391451</v>
      </c>
      <c r="BG172" s="20">
        <f t="shared" si="168"/>
        <v>746.36592595312322</v>
      </c>
      <c r="BH172" s="59">
        <f t="shared" si="116"/>
        <v>1039.6992592864565</v>
      </c>
      <c r="BI172" s="59">
        <f ca="1">AVERAGE(OFFSET($BH$3,0,0,'Données projet'!$E$11+1,1))-AVERAGE(OFFSET($H$3,0,0,'Données projet'!$E$11+1,1))</f>
        <v>352.61091660077574</v>
      </c>
      <c r="BJ172" s="59">
        <f t="shared" si="146"/>
        <v>186.48649111821521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37.703603356926919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37.703603356926919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795.00000000000068</v>
      </c>
      <c r="O173" s="13">
        <f>N173*VLOOKUP('Données projet'!$B$9,Paramètres!$A$1:$I$89,3,0)*VLOOKUP('Données projet'!$B$9,Paramètres!$A$1:$I$89,5,0)</f>
        <v>372.06000000000029</v>
      </c>
      <c r="P173" s="13">
        <f t="shared" si="141"/>
        <v>86.088609967897526</v>
      </c>
      <c r="Q173" s="20">
        <f t="shared" si="162"/>
        <v>797.94216236075533</v>
      </c>
      <c r="R173" s="59">
        <f t="shared" si="109"/>
        <v>1091.2754956940887</v>
      </c>
      <c r="S173" s="59">
        <f ca="1">AVERAGE(OFFSET($R$3,0,0,'Données projet'!$E$9+1,1))-AVERAGE(OFFSET($H$3,0,0,'Données projet'!$E$9+1,1))</f>
        <v>379.12827535040157</v>
      </c>
      <c r="T173" s="59">
        <f t="shared" si="142"/>
        <v>317.29813413796956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21.630751728035733</v>
      </c>
      <c r="AA173" s="21">
        <f>EXP(-LN(2)/25)*AA172+(1-EXP(-LN(2)/25))/(LN(2)/25)*Calculateur!V173*Calculateur!X173*VLOOKUP('Données projet'!$B$9,Paramètres!$A$1:$I$89,3,0)*0.475*44/12</f>
        <v>0.91816991270333193</v>
      </c>
      <c r="AB173" s="21">
        <f>EXP(-LN(2)/2)*AB172+(1-EXP(-LN(2)/2))/(LN(2)/2)*V173*Y173*VLOOKUP('Données projet'!$B$9,Paramètres!$A$1:$I$89,3,0)*0.475*44/12</f>
        <v>3.6467422229612073E-22</v>
      </c>
      <c r="AC173" s="22">
        <f t="shared" si="163"/>
        <v>22.548921640739064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311.298</v>
      </c>
      <c r="AK173" s="13">
        <f t="shared" si="164"/>
        <v>73.539838278528748</v>
      </c>
      <c r="AL173" s="20">
        <f t="shared" si="165"/>
        <v>670.25923500177089</v>
      </c>
      <c r="AM173" s="59">
        <f t="shared" si="113"/>
        <v>963.59256833510426</v>
      </c>
      <c r="AN173" s="59">
        <f ca="1">AVERAGE(OFFSET($AM$3,0,0,'Données projet'!$E$10+1,1))-AVERAGE(OFFSET($H$3,0,0,'Données projet'!$E$10+1,1))</f>
        <v>392.48436003609055</v>
      </c>
      <c r="AO173" s="59">
        <f t="shared" si="144"/>
        <v>236.3312446580419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37.745104108988293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37.745104108988293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404.99999999999989</v>
      </c>
      <c r="BE173" s="13">
        <f>BD173*VLOOKUP('Données projet'!$B$11,Paramètres!$A$1:$I$89,3,0)*VLOOKUP('Données projet'!$B$11,Paramètres!$A$1:$I$89,5,0)</f>
        <v>347.4899999999999</v>
      </c>
      <c r="BF173" s="13">
        <f t="shared" si="167"/>
        <v>81.045459877391451</v>
      </c>
      <c r="BG173" s="20">
        <f t="shared" si="168"/>
        <v>746.36592595312322</v>
      </c>
      <c r="BH173" s="59">
        <f t="shared" si="116"/>
        <v>1039.6992592864565</v>
      </c>
      <c r="BI173" s="59">
        <f ca="1">AVERAGE(OFFSET($BH$3,0,0,'Données projet'!$E$11+1,1))-AVERAGE(OFFSET($H$3,0,0,'Données projet'!$E$11+1,1))</f>
        <v>352.61091660077574</v>
      </c>
      <c r="BJ173" s="59">
        <f t="shared" si="146"/>
        <v>186.48649111821521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36.96425869202487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36.96425869202487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795.00000000000068</v>
      </c>
      <c r="O174" s="13">
        <f>N174*VLOOKUP('Données projet'!$B$9,Paramètres!$A$1:$I$89,3,0)*VLOOKUP('Données projet'!$B$9,Paramètres!$A$1:$I$89,5,0)</f>
        <v>372.06000000000029</v>
      </c>
      <c r="P174" s="13">
        <f t="shared" si="141"/>
        <v>86.088609967897526</v>
      </c>
      <c r="Q174" s="20">
        <f t="shared" si="162"/>
        <v>797.94216236075533</v>
      </c>
      <c r="R174" s="59">
        <f t="shared" si="109"/>
        <v>1091.2754956940887</v>
      </c>
      <c r="S174" s="59">
        <f ca="1">AVERAGE(OFFSET($R$3,0,0,'Données projet'!$E$9+1,1))-AVERAGE(OFFSET($H$3,0,0,'Données projet'!$E$9+1,1))</f>
        <v>379.12827535040157</v>
      </c>
      <c r="T174" s="59">
        <f t="shared" si="142"/>
        <v>317.29813413796956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21.206585880104761</v>
      </c>
      <c r="AA174" s="21">
        <f>EXP(-LN(2)/25)*AA173+(1-EXP(-LN(2)/25))/(LN(2)/25)*Calculateur!V174*Calculateur!X174*VLOOKUP('Données projet'!$B$9,Paramètres!$A$1:$I$89,3,0)*0.475*44/12</f>
        <v>0.89306250815600208</v>
      </c>
      <c r="AB174" s="21">
        <f>EXP(-LN(2)/2)*AB173+(1-EXP(-LN(2)/2))/(LN(2)/2)*V174*Y174*VLOOKUP('Données projet'!$B$9,Paramètres!$A$1:$I$89,3,0)*0.475*44/12</f>
        <v>2.5786361550951743E-22</v>
      </c>
      <c r="AC174" s="22">
        <f t="shared" si="163"/>
        <v>22.099648388260764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311.298</v>
      </c>
      <c r="AK174" s="13">
        <f t="shared" si="164"/>
        <v>73.539838278528748</v>
      </c>
      <c r="AL174" s="20">
        <f t="shared" si="165"/>
        <v>670.25923500177089</v>
      </c>
      <c r="AM174" s="59">
        <f t="shared" si="113"/>
        <v>963.59256833510426</v>
      </c>
      <c r="AN174" s="59">
        <f ca="1">AVERAGE(OFFSET($AM$3,0,0,'Données projet'!$E$10+1,1))-AVERAGE(OFFSET($H$3,0,0,'Données projet'!$E$10+1,1))</f>
        <v>392.48436003609055</v>
      </c>
      <c r="AO174" s="59">
        <f t="shared" si="144"/>
        <v>236.3312446580419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37.004945639651282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37.004945639651282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404.99999999999989</v>
      </c>
      <c r="BE174" s="13">
        <f>BD174*VLOOKUP('Données projet'!$B$11,Paramètres!$A$1:$I$89,3,0)*VLOOKUP('Données projet'!$B$11,Paramètres!$A$1:$I$89,5,0)</f>
        <v>347.4899999999999</v>
      </c>
      <c r="BF174" s="13">
        <f t="shared" si="167"/>
        <v>81.045459877391451</v>
      </c>
      <c r="BG174" s="20">
        <f t="shared" si="168"/>
        <v>746.36592595312322</v>
      </c>
      <c r="BH174" s="59">
        <f t="shared" si="116"/>
        <v>1039.6992592864565</v>
      </c>
      <c r="BI174" s="59">
        <f ca="1">AVERAGE(OFFSET($BH$3,0,0,'Données projet'!$E$11+1,1))-AVERAGE(OFFSET($H$3,0,0,'Données projet'!$E$11+1,1))</f>
        <v>352.61091660077574</v>
      </c>
      <c r="BJ174" s="59">
        <f t="shared" si="146"/>
        <v>186.48649111821521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36.239412125045838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36.239412125045838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795.00000000000068</v>
      </c>
      <c r="O175" s="13">
        <f>N175*VLOOKUP('Données projet'!$B$9,Paramètres!$A$1:$I$89,3,0)*VLOOKUP('Données projet'!$B$9,Paramètres!$A$1:$I$89,5,0)</f>
        <v>372.06000000000029</v>
      </c>
      <c r="P175" s="13">
        <f t="shared" si="141"/>
        <v>86.088609967897526</v>
      </c>
      <c r="Q175" s="20">
        <f t="shared" si="162"/>
        <v>797.94216236075533</v>
      </c>
      <c r="R175" s="59">
        <f t="shared" si="109"/>
        <v>1091.2754956940887</v>
      </c>
      <c r="S175" s="59">
        <f ca="1">AVERAGE(OFFSET($R$3,0,0,'Données projet'!$E$9+1,1))-AVERAGE(OFFSET($H$3,0,0,'Données projet'!$E$9+1,1))</f>
        <v>379.12827535040157</v>
      </c>
      <c r="T175" s="59">
        <f t="shared" si="142"/>
        <v>317.29813413796956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20.790737665736096</v>
      </c>
      <c r="AA175" s="21">
        <f>EXP(-LN(2)/25)*AA174+(1-EXP(-LN(2)/25))/(LN(2)/25)*Calculateur!V175*Calculateur!X175*VLOOKUP('Données projet'!$B$9,Paramètres!$A$1:$I$89,3,0)*0.475*44/12</f>
        <v>0.86864166690636002</v>
      </c>
      <c r="AB175" s="21">
        <f>EXP(-LN(2)/2)*AB174+(1-EXP(-LN(2)/2))/(LN(2)/2)*V175*Y175*VLOOKUP('Données projet'!$B$9,Paramètres!$A$1:$I$89,3,0)*0.475*44/12</f>
        <v>1.8233711114806036E-22</v>
      </c>
      <c r="AC175" s="22">
        <f t="shared" si="163"/>
        <v>21.659379332642455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311.298</v>
      </c>
      <c r="AK175" s="13">
        <f t="shared" si="164"/>
        <v>73.539838278528748</v>
      </c>
      <c r="AL175" s="20">
        <f t="shared" si="165"/>
        <v>670.25923500177089</v>
      </c>
      <c r="AM175" s="59">
        <f t="shared" si="113"/>
        <v>963.59256833510426</v>
      </c>
      <c r="AN175" s="59">
        <f ca="1">AVERAGE(OFFSET($AM$3,0,0,'Données projet'!$E$10+1,1))-AVERAGE(OFFSET($H$3,0,0,'Données projet'!$E$10+1,1))</f>
        <v>392.48436003609055</v>
      </c>
      <c r="AO175" s="59">
        <f t="shared" si="144"/>
        <v>236.3312446580419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36.279301226445881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36.279301226445881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404.99999999999989</v>
      </c>
      <c r="BE175" s="13">
        <f>BD175*VLOOKUP('Données projet'!$B$11,Paramètres!$A$1:$I$89,3,0)*VLOOKUP('Données projet'!$B$11,Paramètres!$A$1:$I$89,5,0)</f>
        <v>347.4899999999999</v>
      </c>
      <c r="BF175" s="13">
        <f t="shared" si="167"/>
        <v>81.045459877391451</v>
      </c>
      <c r="BG175" s="20">
        <f t="shared" si="168"/>
        <v>746.36592595312322</v>
      </c>
      <c r="BH175" s="59">
        <f t="shared" si="116"/>
        <v>1039.6992592864565</v>
      </c>
      <c r="BI175" s="59">
        <f ca="1">AVERAGE(OFFSET($BH$3,0,0,'Données projet'!$E$11+1,1))-AVERAGE(OFFSET($H$3,0,0,'Données projet'!$E$11+1,1))</f>
        <v>352.61091660077574</v>
      </c>
      <c r="BJ175" s="59">
        <f t="shared" si="146"/>
        <v>186.48649111821521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35.528779357132514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35.528779357132514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795.00000000000068</v>
      </c>
      <c r="O176" s="13">
        <f>N176*VLOOKUP('Données projet'!$B$9,Paramètres!$A$1:$I$89,3,0)*VLOOKUP('Données projet'!$B$9,Paramètres!$A$1:$I$89,5,0)</f>
        <v>372.06000000000029</v>
      </c>
      <c r="P176" s="13">
        <f t="shared" si="141"/>
        <v>86.088609967897526</v>
      </c>
      <c r="Q176" s="20">
        <f t="shared" si="162"/>
        <v>797.94216236075533</v>
      </c>
      <c r="R176" s="59">
        <f t="shared" si="109"/>
        <v>1091.2754956940887</v>
      </c>
      <c r="S176" s="59">
        <f ca="1">AVERAGE(OFFSET($R$3,0,0,'Données projet'!$E$9+1,1))-AVERAGE(OFFSET($H$3,0,0,'Données projet'!$E$9+1,1))</f>
        <v>379.12827535040157</v>
      </c>
      <c r="T176" s="59">
        <f t="shared" si="142"/>
        <v>317.29813413796956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20.383043981208832</v>
      </c>
      <c r="AA176" s="21">
        <f>EXP(-LN(2)/25)*AA175+(1-EXP(-LN(2)/25))/(LN(2)/25)*Calculateur!V176*Calculateur!X176*VLOOKUP('Données projet'!$B$9,Paramètres!$A$1:$I$89,3,0)*0.475*44/12</f>
        <v>0.84488861484492561</v>
      </c>
      <c r="AB176" s="21">
        <f>EXP(-LN(2)/2)*AB175+(1-EXP(-LN(2)/2))/(LN(2)/2)*V176*Y176*VLOOKUP('Données projet'!$B$9,Paramètres!$A$1:$I$89,3,0)*0.475*44/12</f>
        <v>1.2893180775475871E-22</v>
      </c>
      <c r="AC176" s="22">
        <f t="shared" si="163"/>
        <v>21.227932596053758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311.298</v>
      </c>
      <c r="AK176" s="13">
        <f t="shared" si="164"/>
        <v>73.539838278528748</v>
      </c>
      <c r="AL176" s="20">
        <f t="shared" si="165"/>
        <v>670.25923500177089</v>
      </c>
      <c r="AM176" s="59">
        <f t="shared" si="113"/>
        <v>963.59256833510426</v>
      </c>
      <c r="AN176" s="59">
        <f ca="1">AVERAGE(OFFSET($AM$3,0,0,'Données projet'!$E$10+1,1))-AVERAGE(OFFSET($H$3,0,0,'Données projet'!$E$10+1,1))</f>
        <v>392.48436003609055</v>
      </c>
      <c r="AO176" s="59">
        <f t="shared" si="144"/>
        <v>236.3312446580419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35.56788625758405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35.56788625758405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404.99999999999989</v>
      </c>
      <c r="BE176" s="13">
        <f>BD176*VLOOKUP('Données projet'!$B$11,Paramètres!$A$1:$I$89,3,0)*VLOOKUP('Données projet'!$B$11,Paramètres!$A$1:$I$89,5,0)</f>
        <v>347.4899999999999</v>
      </c>
      <c r="BF176" s="13">
        <f t="shared" si="167"/>
        <v>81.045459877391451</v>
      </c>
      <c r="BG176" s="20">
        <f t="shared" si="168"/>
        <v>746.36592595312322</v>
      </c>
      <c r="BH176" s="59">
        <f t="shared" si="116"/>
        <v>1039.6992592864565</v>
      </c>
      <c r="BI176" s="59">
        <f ca="1">AVERAGE(OFFSET($BH$3,0,0,'Données projet'!$E$11+1,1))-AVERAGE(OFFSET($H$3,0,0,'Données projet'!$E$11+1,1))</f>
        <v>352.61091660077574</v>
      </c>
      <c r="BJ176" s="59">
        <f t="shared" si="146"/>
        <v>186.48649111821521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34.832081664354774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34.832081664354774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795.00000000000068</v>
      </c>
      <c r="O177" s="13">
        <f>N177*VLOOKUP('Données projet'!$B$9,Paramètres!$A$1:$I$89,3,0)*VLOOKUP('Données projet'!$B$9,Paramètres!$A$1:$I$89,5,0)</f>
        <v>372.06000000000029</v>
      </c>
      <c r="P177" s="13">
        <f t="shared" si="141"/>
        <v>86.088609967897526</v>
      </c>
      <c r="Q177" s="20">
        <f t="shared" si="162"/>
        <v>797.94216236075533</v>
      </c>
      <c r="R177" s="59">
        <f t="shared" si="109"/>
        <v>1091.2754956940887</v>
      </c>
      <c r="S177" s="59">
        <f ca="1">AVERAGE(OFFSET($R$3,0,0,'Données projet'!$E$9+1,1))-AVERAGE(OFFSET($H$3,0,0,'Données projet'!$E$9+1,1))</f>
        <v>379.12827535040157</v>
      </c>
      <c r="T177" s="59">
        <f t="shared" si="142"/>
        <v>317.29813413796956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19.983344921166555</v>
      </c>
      <c r="AA177" s="21">
        <f>EXP(-LN(2)/25)*AA176+(1-EXP(-LN(2)/25))/(LN(2)/25)*Calculateur!V177*Calculateur!X177*VLOOKUP('Données projet'!$B$9,Paramètres!$A$1:$I$89,3,0)*0.475*44/12</f>
        <v>0.82178509124122989</v>
      </c>
      <c r="AB177" s="21">
        <f>EXP(-LN(2)/2)*AB176+(1-EXP(-LN(2)/2))/(LN(2)/2)*V177*Y177*VLOOKUP('Données projet'!$B$9,Paramètres!$A$1:$I$89,3,0)*0.475*44/12</f>
        <v>9.1168555574030182E-23</v>
      </c>
      <c r="AC177" s="22">
        <f t="shared" si="163"/>
        <v>20.805130012407787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311.298</v>
      </c>
      <c r="AK177" s="13">
        <f t="shared" si="164"/>
        <v>73.539838278528748</v>
      </c>
      <c r="AL177" s="20">
        <f t="shared" si="165"/>
        <v>670.25923500177089</v>
      </c>
      <c r="AM177" s="59">
        <f t="shared" si="113"/>
        <v>963.59256833510426</v>
      </c>
      <c r="AN177" s="59">
        <f ca="1">AVERAGE(OFFSET($AM$3,0,0,'Données projet'!$E$10+1,1))-AVERAGE(OFFSET($H$3,0,0,'Données projet'!$E$10+1,1))</f>
        <v>392.48436003609055</v>
      </c>
      <c r="AO177" s="59">
        <f t="shared" si="144"/>
        <v>236.3312446580419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34.870421702341311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34.870421702341311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404.99999999999989</v>
      </c>
      <c r="BE177" s="13">
        <f>BD177*VLOOKUP('Données projet'!$B$11,Paramètres!$A$1:$I$89,3,0)*VLOOKUP('Données projet'!$B$11,Paramètres!$A$1:$I$89,5,0)</f>
        <v>347.4899999999999</v>
      </c>
      <c r="BF177" s="13">
        <f t="shared" si="167"/>
        <v>81.045459877391451</v>
      </c>
      <c r="BG177" s="20">
        <f t="shared" si="168"/>
        <v>746.36592595312322</v>
      </c>
      <c r="BH177" s="59">
        <f t="shared" si="116"/>
        <v>1039.6992592864565</v>
      </c>
      <c r="BI177" s="59">
        <f ca="1">AVERAGE(OFFSET($BH$3,0,0,'Données projet'!$E$11+1,1))-AVERAGE(OFFSET($H$3,0,0,'Données projet'!$E$11+1,1))</f>
        <v>352.61091660077574</v>
      </c>
      <c r="BJ177" s="59">
        <f t="shared" si="146"/>
        <v>186.48649111821521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34.149045788388776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34.149045788388776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795.00000000000068</v>
      </c>
      <c r="O178" s="13">
        <f>N178*VLOOKUP('Données projet'!$B$9,Paramètres!$A$1:$I$89,3,0)*VLOOKUP('Données projet'!$B$9,Paramètres!$A$1:$I$89,5,0)</f>
        <v>372.06000000000029</v>
      </c>
      <c r="P178" s="13">
        <f t="shared" si="141"/>
        <v>86.088609967897526</v>
      </c>
      <c r="Q178" s="20">
        <f t="shared" si="162"/>
        <v>797.94216236075533</v>
      </c>
      <c r="R178" s="59">
        <f t="shared" si="109"/>
        <v>1091.2754956940887</v>
      </c>
      <c r="S178" s="59">
        <f ca="1">AVERAGE(OFFSET($R$3,0,0,'Données projet'!$E$9+1,1))-AVERAGE(OFFSET($H$3,0,0,'Données projet'!$E$9+1,1))</f>
        <v>379.12827535040157</v>
      </c>
      <c r="T178" s="59">
        <f t="shared" si="142"/>
        <v>317.29813413796956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19.591483715899354</v>
      </c>
      <c r="AA178" s="21">
        <f>EXP(-LN(2)/25)*AA177+(1-EXP(-LN(2)/25))/(LN(2)/25)*Calculateur!V178*Calculateur!X178*VLOOKUP('Données projet'!$B$9,Paramètres!$A$1:$I$89,3,0)*0.475*44/12</f>
        <v>0.79931333470543875</v>
      </c>
      <c r="AB178" s="21">
        <f>EXP(-LN(2)/2)*AB177+(1-EXP(-LN(2)/2))/(LN(2)/2)*V178*Y178*VLOOKUP('Données projet'!$B$9,Paramètres!$A$1:$I$89,3,0)*0.475*44/12</f>
        <v>6.4465903877379357E-23</v>
      </c>
      <c r="AC178" s="22">
        <f t="shared" si="163"/>
        <v>20.390797050604792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311.298</v>
      </c>
      <c r="AK178" s="13">
        <f t="shared" si="164"/>
        <v>73.539838278528748</v>
      </c>
      <c r="AL178" s="20">
        <f t="shared" si="165"/>
        <v>670.25923500177089</v>
      </c>
      <c r="AM178" s="59">
        <f t="shared" si="113"/>
        <v>963.59256833510426</v>
      </c>
      <c r="AN178" s="59">
        <f ca="1">AVERAGE(OFFSET($AM$3,0,0,'Données projet'!$E$10+1,1))-AVERAGE(OFFSET($H$3,0,0,'Données projet'!$E$10+1,1))</f>
        <v>392.48436003609055</v>
      </c>
      <c r="AO178" s="59">
        <f t="shared" si="144"/>
        <v>236.3312446580419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34.186634001615509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34.186634001615509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404.99999999999989</v>
      </c>
      <c r="BE178" s="13">
        <f>BD178*VLOOKUP('Données projet'!$B$11,Paramètres!$A$1:$I$89,3,0)*VLOOKUP('Données projet'!$B$11,Paramètres!$A$1:$I$89,5,0)</f>
        <v>347.4899999999999</v>
      </c>
      <c r="BF178" s="13">
        <f t="shared" si="167"/>
        <v>81.045459877391451</v>
      </c>
      <c r="BG178" s="20">
        <f t="shared" si="168"/>
        <v>746.36592595312322</v>
      </c>
      <c r="BH178" s="59">
        <f t="shared" si="116"/>
        <v>1039.6992592864565</v>
      </c>
      <c r="BI178" s="59">
        <f ca="1">AVERAGE(OFFSET($BH$3,0,0,'Données projet'!$E$11+1,1))-AVERAGE(OFFSET($H$3,0,0,'Données projet'!$E$11+1,1))</f>
        <v>352.61091660077574</v>
      </c>
      <c r="BJ178" s="59">
        <f t="shared" si="146"/>
        <v>186.48649111821521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33.479403829339724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33.479403829339724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795.00000000000068</v>
      </c>
      <c r="O179" s="13">
        <f>N179*VLOOKUP('Données projet'!$B$9,Paramètres!$A$1:$I$89,3,0)*VLOOKUP('Données projet'!$B$9,Paramètres!$A$1:$I$89,5,0)</f>
        <v>372.06000000000029</v>
      </c>
      <c r="P179" s="13">
        <f t="shared" si="141"/>
        <v>86.088609967897526</v>
      </c>
      <c r="Q179" s="20">
        <f t="shared" si="162"/>
        <v>797.94216236075533</v>
      </c>
      <c r="R179" s="59">
        <f t="shared" si="109"/>
        <v>1091.2754956940887</v>
      </c>
      <c r="S179" s="59">
        <f ca="1">AVERAGE(OFFSET($R$3,0,0,'Données projet'!$E$9+1,1))-AVERAGE(OFFSET($H$3,0,0,'Données projet'!$E$9+1,1))</f>
        <v>379.12827535040157</v>
      </c>
      <c r="T179" s="59">
        <f t="shared" si="142"/>
        <v>317.29813413796956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19.207306669855708</v>
      </c>
      <c r="AA179" s="21">
        <f>EXP(-LN(2)/25)*AA178+(1-EXP(-LN(2)/25))/(LN(2)/25)*Calculateur!V179*Calculateur!X179*VLOOKUP('Données projet'!$B$9,Paramètres!$A$1:$I$89,3,0)*0.475*44/12</f>
        <v>0.77745606953385715</v>
      </c>
      <c r="AB179" s="21">
        <f>EXP(-LN(2)/2)*AB178+(1-EXP(-LN(2)/2))/(LN(2)/2)*V179*Y179*VLOOKUP('Données projet'!$B$9,Paramètres!$A$1:$I$89,3,0)*0.475*44/12</f>
        <v>4.5584277787015091E-23</v>
      </c>
      <c r="AC179" s="22">
        <f t="shared" si="163"/>
        <v>19.984762739389566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311.298</v>
      </c>
      <c r="AK179" s="13">
        <f t="shared" si="164"/>
        <v>73.539838278528748</v>
      </c>
      <c r="AL179" s="20">
        <f t="shared" si="165"/>
        <v>670.25923500177089</v>
      </c>
      <c r="AM179" s="59">
        <f t="shared" si="113"/>
        <v>963.59256833510426</v>
      </c>
      <c r="AN179" s="59">
        <f ca="1">AVERAGE(OFFSET($AM$3,0,0,'Données projet'!$E$10+1,1))-AVERAGE(OFFSET($H$3,0,0,'Données projet'!$E$10+1,1))</f>
        <v>392.48436003609055</v>
      </c>
      <c r="AO179" s="59">
        <f t="shared" si="144"/>
        <v>236.3312446580419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33.516254960631628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33.516254960631628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404.99999999999989</v>
      </c>
      <c r="BE179" s="13">
        <f>BD179*VLOOKUP('Données projet'!$B$11,Paramètres!$A$1:$I$89,3,0)*VLOOKUP('Données projet'!$B$11,Paramètres!$A$1:$I$89,5,0)</f>
        <v>347.4899999999999</v>
      </c>
      <c r="BF179" s="13">
        <f t="shared" si="167"/>
        <v>81.045459877391451</v>
      </c>
      <c r="BG179" s="20">
        <f t="shared" si="168"/>
        <v>746.36592595312322</v>
      </c>
      <c r="BH179" s="59">
        <f t="shared" si="116"/>
        <v>1039.6992592864565</v>
      </c>
      <c r="BI179" s="59">
        <f ca="1">AVERAGE(OFFSET($BH$3,0,0,'Données projet'!$E$11+1,1))-AVERAGE(OFFSET($H$3,0,0,'Données projet'!$E$11+1,1))</f>
        <v>352.61091660077574</v>
      </c>
      <c r="BJ179" s="59">
        <f t="shared" si="146"/>
        <v>186.48649111821521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32.822893140666359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32.822893140666359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795.00000000000068</v>
      </c>
      <c r="O180" s="13">
        <f>N180*VLOOKUP('Données projet'!$B$9,Paramètres!$A$1:$I$89,3,0)*VLOOKUP('Données projet'!$B$9,Paramètres!$A$1:$I$89,5,0)</f>
        <v>372.06000000000029</v>
      </c>
      <c r="P180" s="13">
        <f t="shared" si="141"/>
        <v>86.088609967897526</v>
      </c>
      <c r="Q180" s="20">
        <f t="shared" si="162"/>
        <v>797.94216236075533</v>
      </c>
      <c r="R180" s="59">
        <f t="shared" si="109"/>
        <v>1091.2754956940887</v>
      </c>
      <c r="S180" s="59">
        <f ca="1">AVERAGE(OFFSET($R$3,0,0,'Données projet'!$E$9+1,1))-AVERAGE(OFFSET($H$3,0,0,'Données projet'!$E$9+1,1))</f>
        <v>379.12827535040157</v>
      </c>
      <c r="T180" s="59">
        <f t="shared" si="142"/>
        <v>317.29813413796956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18.830663101360116</v>
      </c>
      <c r="AA180" s="21">
        <f>EXP(-LN(2)/25)*AA179+(1-EXP(-LN(2)/25))/(LN(2)/25)*Calculateur!V180*Calculateur!X180*VLOOKUP('Données projet'!$B$9,Paramètres!$A$1:$I$89,3,0)*0.475*44/12</f>
        <v>0.75619649242781606</v>
      </c>
      <c r="AB180" s="21">
        <f>EXP(-LN(2)/2)*AB179+(1-EXP(-LN(2)/2))/(LN(2)/2)*V180*Y180*VLOOKUP('Données projet'!$B$9,Paramètres!$A$1:$I$89,3,0)*0.475*44/12</f>
        <v>3.2232951938689679E-23</v>
      </c>
      <c r="AC180" s="22">
        <f t="shared" si="163"/>
        <v>19.586859593787931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311.298</v>
      </c>
      <c r="AK180" s="13">
        <f t="shared" si="164"/>
        <v>73.539838278528748</v>
      </c>
      <c r="AL180" s="20">
        <f t="shared" si="165"/>
        <v>670.25923500177089</v>
      </c>
      <c r="AM180" s="59">
        <f t="shared" si="113"/>
        <v>963.59256833510426</v>
      </c>
      <c r="AN180" s="59">
        <f ca="1">AVERAGE(OFFSET($AM$3,0,0,'Données projet'!$E$10+1,1))-AVERAGE(OFFSET($H$3,0,0,'Données projet'!$E$10+1,1))</f>
        <v>392.48436003609055</v>
      </c>
      <c r="AO180" s="59">
        <f t="shared" si="144"/>
        <v>236.3312446580419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32.859021643750602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32.859021643750602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404.99999999999989</v>
      </c>
      <c r="BE180" s="13">
        <f>BD180*VLOOKUP('Données projet'!$B$11,Paramètres!$A$1:$I$89,3,0)*VLOOKUP('Données projet'!$B$11,Paramètres!$A$1:$I$89,5,0)</f>
        <v>347.4899999999999</v>
      </c>
      <c r="BF180" s="13">
        <f t="shared" si="167"/>
        <v>81.045459877391451</v>
      </c>
      <c r="BG180" s="20">
        <f t="shared" si="168"/>
        <v>746.36592595312322</v>
      </c>
      <c r="BH180" s="59">
        <f t="shared" si="116"/>
        <v>1039.6992592864565</v>
      </c>
      <c r="BI180" s="59">
        <f ca="1">AVERAGE(OFFSET($BH$3,0,0,'Données projet'!$E$11+1,1))-AVERAGE(OFFSET($H$3,0,0,'Données projet'!$E$11+1,1))</f>
        <v>352.61091660077574</v>
      </c>
      <c r="BJ180" s="59">
        <f t="shared" si="146"/>
        <v>186.48649111821521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32.179256226165897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32.179256226165897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795.00000000000068</v>
      </c>
      <c r="O181" s="13">
        <f>N181*VLOOKUP('Données projet'!$B$9,Paramètres!$A$1:$I$89,3,0)*VLOOKUP('Données projet'!$B$9,Paramètres!$A$1:$I$89,5,0)</f>
        <v>372.06000000000029</v>
      </c>
      <c r="P181" s="13">
        <f t="shared" si="141"/>
        <v>86.088609967897526</v>
      </c>
      <c r="Q181" s="20">
        <f t="shared" si="162"/>
        <v>797.94216236075533</v>
      </c>
      <c r="R181" s="59">
        <f t="shared" si="109"/>
        <v>1091.2754956940887</v>
      </c>
      <c r="S181" s="59">
        <f ca="1">AVERAGE(OFFSET($R$3,0,0,'Données projet'!$E$9+1,1))-AVERAGE(OFFSET($H$3,0,0,'Données projet'!$E$9+1,1))</f>
        <v>379.12827535040157</v>
      </c>
      <c r="T181" s="59">
        <f t="shared" si="142"/>
        <v>317.29813413796956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18.461405283512832</v>
      </c>
      <c r="AA181" s="21">
        <f>EXP(-LN(2)/25)*AA180+(1-EXP(-LN(2)/25))/(LN(2)/25)*Calculateur!V181*Calculateur!X181*VLOOKUP('Données projet'!$B$9,Paramètres!$A$1:$I$89,3,0)*0.475*44/12</f>
        <v>0.73551825957573225</v>
      </c>
      <c r="AB181" s="21">
        <f>EXP(-LN(2)/2)*AB180+(1-EXP(-LN(2)/2))/(LN(2)/2)*V181*Y181*VLOOKUP('Données projet'!$B$9,Paramètres!$A$1:$I$89,3,0)*0.475*44/12</f>
        <v>2.2792138893507546E-23</v>
      </c>
      <c r="AC181" s="22">
        <f t="shared" si="163"/>
        <v>19.196923543088563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311.298</v>
      </c>
      <c r="AK181" s="13">
        <f t="shared" si="164"/>
        <v>73.539838278528748</v>
      </c>
      <c r="AL181" s="20">
        <f t="shared" si="165"/>
        <v>670.25923500177089</v>
      </c>
      <c r="AM181" s="59">
        <f t="shared" si="113"/>
        <v>963.59256833510426</v>
      </c>
      <c r="AN181" s="59">
        <f ca="1">AVERAGE(OFFSET($AM$3,0,0,'Données projet'!$E$10+1,1))-AVERAGE(OFFSET($H$3,0,0,'Données projet'!$E$10+1,1))</f>
        <v>392.48436003609055</v>
      </c>
      <c r="AO181" s="59">
        <f t="shared" si="144"/>
        <v>236.3312446580419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32.214676271340871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32.214676271340871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404.99999999999989</v>
      </c>
      <c r="BE181" s="13">
        <f>BD181*VLOOKUP('Données projet'!$B$11,Paramètres!$A$1:$I$89,3,0)*VLOOKUP('Données projet'!$B$11,Paramètres!$A$1:$I$89,5,0)</f>
        <v>347.4899999999999</v>
      </c>
      <c r="BF181" s="13">
        <f t="shared" si="167"/>
        <v>81.045459877391451</v>
      </c>
      <c r="BG181" s="20">
        <f t="shared" si="168"/>
        <v>746.36592595312322</v>
      </c>
      <c r="BH181" s="59">
        <f t="shared" si="116"/>
        <v>1039.6992592864565</v>
      </c>
      <c r="BI181" s="59">
        <f ca="1">AVERAGE(OFFSET($BH$3,0,0,'Données projet'!$E$11+1,1))-AVERAGE(OFFSET($H$3,0,0,'Données projet'!$E$11+1,1))</f>
        <v>352.61091660077574</v>
      </c>
      <c r="BJ181" s="59">
        <f t="shared" si="146"/>
        <v>186.48649111821521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31.548240638979035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31.548240638979035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795.00000000000068</v>
      </c>
      <c r="O182" s="13">
        <f>N182*VLOOKUP('Données projet'!$B$9,Paramètres!$A$1:$I$89,3,0)*VLOOKUP('Données projet'!$B$9,Paramètres!$A$1:$I$89,5,0)</f>
        <v>372.06000000000029</v>
      </c>
      <c r="P182" s="13">
        <f t="shared" si="141"/>
        <v>86.088609967897526</v>
      </c>
      <c r="Q182" s="20">
        <f t="shared" si="162"/>
        <v>797.94216236075533</v>
      </c>
      <c r="R182" s="59">
        <f t="shared" si="109"/>
        <v>1091.2754956940887</v>
      </c>
      <c r="S182" s="59">
        <f ca="1">AVERAGE(OFFSET($R$3,0,0,'Données projet'!$E$9+1,1))-AVERAGE(OFFSET($H$3,0,0,'Données projet'!$E$9+1,1))</f>
        <v>379.12827535040157</v>
      </c>
      <c r="T182" s="59">
        <f t="shared" si="142"/>
        <v>317.29813413796956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18.099388386248503</v>
      </c>
      <c r="AA182" s="21">
        <f>EXP(-LN(2)/25)*AA181+(1-EXP(-LN(2)/25))/(LN(2)/25)*Calculateur!V182*Calculateur!X182*VLOOKUP('Données projet'!$B$9,Paramètres!$A$1:$I$89,3,0)*0.475*44/12</f>
        <v>0.7154054740884096</v>
      </c>
      <c r="AB182" s="21">
        <f>EXP(-LN(2)/2)*AB181+(1-EXP(-LN(2)/2))/(LN(2)/2)*V182*Y182*VLOOKUP('Données projet'!$B$9,Paramètres!$A$1:$I$89,3,0)*0.475*44/12</f>
        <v>1.6116475969344839E-23</v>
      </c>
      <c r="AC182" s="22">
        <f t="shared" si="163"/>
        <v>18.814793860336913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311.298</v>
      </c>
      <c r="AK182" s="13">
        <f t="shared" si="164"/>
        <v>73.539838278528748</v>
      </c>
      <c r="AL182" s="20">
        <f t="shared" si="165"/>
        <v>670.25923500177089</v>
      </c>
      <c r="AM182" s="59">
        <f t="shared" si="113"/>
        <v>963.59256833510426</v>
      </c>
      <c r="AN182" s="59">
        <f ca="1">AVERAGE(OFFSET($AM$3,0,0,'Données projet'!$E$10+1,1))-AVERAGE(OFFSET($H$3,0,0,'Données projet'!$E$10+1,1))</f>
        <v>392.48436003609055</v>
      </c>
      <c r="AO182" s="59">
        <f t="shared" si="144"/>
        <v>236.3312446580419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31.582966118672221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31.582966118672221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404.99999999999989</v>
      </c>
      <c r="BE182" s="13">
        <f>BD182*VLOOKUP('Données projet'!$B$11,Paramètres!$A$1:$I$89,3,0)*VLOOKUP('Données projet'!$B$11,Paramètres!$A$1:$I$89,5,0)</f>
        <v>347.4899999999999</v>
      </c>
      <c r="BF182" s="13">
        <f t="shared" si="167"/>
        <v>81.045459877391451</v>
      </c>
      <c r="BG182" s="20">
        <f t="shared" si="168"/>
        <v>746.36592595312322</v>
      </c>
      <c r="BH182" s="59">
        <f t="shared" si="116"/>
        <v>1039.6992592864565</v>
      </c>
      <c r="BI182" s="59">
        <f ca="1">AVERAGE(OFFSET($BH$3,0,0,'Données projet'!$E$11+1,1))-AVERAGE(OFFSET($H$3,0,0,'Données projet'!$E$11+1,1))</f>
        <v>352.61091660077574</v>
      </c>
      <c r="BJ182" s="59">
        <f t="shared" si="146"/>
        <v>186.48649111821521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30.929598882575405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30.929598882575405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795.00000000000068</v>
      </c>
      <c r="O183" s="13">
        <f>N183*VLOOKUP('Données projet'!$B$9,Paramètres!$A$1:$I$89,3,0)*VLOOKUP('Données projet'!$B$9,Paramètres!$A$1:$I$89,5,0)</f>
        <v>372.06000000000029</v>
      </c>
      <c r="P183" s="13">
        <f t="shared" si="141"/>
        <v>86.088609967897526</v>
      </c>
      <c r="Q183" s="20">
        <f t="shared" si="162"/>
        <v>797.94216236075533</v>
      </c>
      <c r="R183" s="59">
        <f t="shared" si="109"/>
        <v>1091.2754956940887</v>
      </c>
      <c r="S183" s="59">
        <f ca="1">AVERAGE(OFFSET($R$3,0,0,'Données projet'!$E$9+1,1))-AVERAGE(OFFSET($H$3,0,0,'Données projet'!$E$9+1,1))</f>
        <v>379.12827535040157</v>
      </c>
      <c r="T183" s="59">
        <f t="shared" si="142"/>
        <v>317.29813413796956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17.744470419531023</v>
      </c>
      <c r="AA183" s="21">
        <f>EXP(-LN(2)/25)*AA182+(1-EXP(-LN(2)/25))/(LN(2)/25)*Calculateur!V183*Calculateur!X183*VLOOKUP('Données projet'!$B$9,Paramètres!$A$1:$I$89,3,0)*0.475*44/12</f>
        <v>0.69584267377792319</v>
      </c>
      <c r="AB183" s="21">
        <f>EXP(-LN(2)/2)*AB182+(1-EXP(-LN(2)/2))/(LN(2)/2)*V183*Y183*VLOOKUP('Données projet'!$B$9,Paramètres!$A$1:$I$89,3,0)*0.475*44/12</f>
        <v>1.1396069446753773E-23</v>
      </c>
      <c r="AC183" s="22">
        <f t="shared" si="163"/>
        <v>18.440313093308948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311.298</v>
      </c>
      <c r="AK183" s="13">
        <f t="shared" si="164"/>
        <v>73.539838278528748</v>
      </c>
      <c r="AL183" s="20">
        <f t="shared" si="165"/>
        <v>670.25923500177089</v>
      </c>
      <c r="AM183" s="59">
        <f t="shared" si="113"/>
        <v>963.59256833510426</v>
      </c>
      <c r="AN183" s="59">
        <f ca="1">AVERAGE(OFFSET($AM$3,0,0,'Données projet'!$E$10+1,1))-AVERAGE(OFFSET($H$3,0,0,'Données projet'!$E$10+1,1))</f>
        <v>392.48436003609055</v>
      </c>
      <c r="AO183" s="59">
        <f t="shared" si="144"/>
        <v>236.3312446580419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30.963643416792259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30.963643416792259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404.99999999999989</v>
      </c>
      <c r="BE183" s="13">
        <f>BD183*VLOOKUP('Données projet'!$B$11,Paramètres!$A$1:$I$89,3,0)*VLOOKUP('Données projet'!$B$11,Paramètres!$A$1:$I$89,5,0)</f>
        <v>347.4899999999999</v>
      </c>
      <c r="BF183" s="13">
        <f t="shared" si="167"/>
        <v>81.045459877391451</v>
      </c>
      <c r="BG183" s="20">
        <f t="shared" si="168"/>
        <v>746.36592595312322</v>
      </c>
      <c r="BH183" s="59">
        <f t="shared" si="116"/>
        <v>1039.6992592864565</v>
      </c>
      <c r="BI183" s="59">
        <f ca="1">AVERAGE(OFFSET($BH$3,0,0,'Données projet'!$E$11+1,1))-AVERAGE(OFFSET($H$3,0,0,'Données projet'!$E$11+1,1))</f>
        <v>352.61091660077574</v>
      </c>
      <c r="BJ183" s="59">
        <f t="shared" si="146"/>
        <v>186.48649111821521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30.323088313680636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30.323088313680636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795.00000000000068</v>
      </c>
      <c r="O184" s="13">
        <f>N184*VLOOKUP('Données projet'!$B$9,Paramètres!$A$1:$I$89,3,0)*VLOOKUP('Données projet'!$B$9,Paramètres!$A$1:$I$89,5,0)</f>
        <v>372.06000000000029</v>
      </c>
      <c r="P184" s="13">
        <f t="shared" si="141"/>
        <v>86.088609967897526</v>
      </c>
      <c r="Q184" s="20">
        <f t="shared" si="162"/>
        <v>797.94216236075533</v>
      </c>
      <c r="R184" s="59">
        <f t="shared" si="109"/>
        <v>1091.2754956940887</v>
      </c>
      <c r="S184" s="59">
        <f ca="1">AVERAGE(OFFSET($R$3,0,0,'Données projet'!$E$9+1,1))-AVERAGE(OFFSET($H$3,0,0,'Données projet'!$E$9+1,1))</f>
        <v>379.12827535040157</v>
      </c>
      <c r="T184" s="59">
        <f t="shared" si="142"/>
        <v>317.29813413796956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17.396512177662288</v>
      </c>
      <c r="AA184" s="21">
        <f>EXP(-LN(2)/25)*AA183+(1-EXP(-LN(2)/25))/(LN(2)/25)*Calculateur!V184*Calculateur!X184*VLOOKUP('Données projet'!$B$9,Paramètres!$A$1:$I$89,3,0)*0.475*44/12</f>
        <v>0.67681481927069009</v>
      </c>
      <c r="AB184" s="21">
        <f>EXP(-LN(2)/2)*AB183+(1-EXP(-LN(2)/2))/(LN(2)/2)*V184*Y184*VLOOKUP('Données projet'!$B$9,Paramètres!$A$1:$I$89,3,0)*0.475*44/12</f>
        <v>8.0582379846724196E-24</v>
      </c>
      <c r="AC184" s="22">
        <f t="shared" si="163"/>
        <v>18.073326996932977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311.298</v>
      </c>
      <c r="AK184" s="13">
        <f t="shared" si="164"/>
        <v>73.539838278528748</v>
      </c>
      <c r="AL184" s="20">
        <f t="shared" si="165"/>
        <v>670.25923500177089</v>
      </c>
      <c r="AM184" s="59">
        <f t="shared" si="113"/>
        <v>963.59256833510426</v>
      </c>
      <c r="AN184" s="59">
        <f ca="1">AVERAGE(OFFSET($AM$3,0,0,'Données projet'!$E$10+1,1))-AVERAGE(OFFSET($H$3,0,0,'Données projet'!$E$10+1,1))</f>
        <v>392.48436003609055</v>
      </c>
      <c r="AO184" s="59">
        <f t="shared" si="144"/>
        <v>236.3312446580419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30.356465255346613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30.356465255346613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404.99999999999989</v>
      </c>
      <c r="BE184" s="13">
        <f>BD184*VLOOKUP('Données projet'!$B$11,Paramètres!$A$1:$I$89,3,0)*VLOOKUP('Données projet'!$B$11,Paramètres!$A$1:$I$89,5,0)</f>
        <v>347.4899999999999</v>
      </c>
      <c r="BF184" s="13">
        <f t="shared" si="167"/>
        <v>81.045459877391451</v>
      </c>
      <c r="BG184" s="20">
        <f t="shared" si="168"/>
        <v>746.36592595312322</v>
      </c>
      <c r="BH184" s="59">
        <f t="shared" si="116"/>
        <v>1039.6992592864565</v>
      </c>
      <c r="BI184" s="59">
        <f ca="1">AVERAGE(OFFSET($BH$3,0,0,'Données projet'!$E$11+1,1))-AVERAGE(OFFSET($H$3,0,0,'Données projet'!$E$11+1,1))</f>
        <v>352.61091660077574</v>
      </c>
      <c r="BJ184" s="59">
        <f t="shared" si="146"/>
        <v>186.48649111821521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29.728471047106975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29.728471047106975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795.00000000000068</v>
      </c>
      <c r="O185" s="13">
        <f>N185*VLOOKUP('Données projet'!$B$9,Paramètres!$A$1:$I$89,3,0)*VLOOKUP('Données projet'!$B$9,Paramètres!$A$1:$I$89,5,0)</f>
        <v>372.06000000000029</v>
      </c>
      <c r="P185" s="13">
        <f t="shared" si="141"/>
        <v>86.088609967897526</v>
      </c>
      <c r="Q185" s="20">
        <f t="shared" si="162"/>
        <v>797.94216236075533</v>
      </c>
      <c r="R185" s="59">
        <f t="shared" si="109"/>
        <v>1091.2754956940887</v>
      </c>
      <c r="S185" s="59">
        <f ca="1">AVERAGE(OFFSET($R$3,0,0,'Données projet'!$E$9+1,1))-AVERAGE(OFFSET($H$3,0,0,'Données projet'!$E$9+1,1))</f>
        <v>379.12827535040157</v>
      </c>
      <c r="T185" s="59">
        <f t="shared" si="142"/>
        <v>317.29813413796956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17.055377184683028</v>
      </c>
      <c r="AA185" s="21">
        <f>EXP(-LN(2)/25)*AA184+(1-EXP(-LN(2)/25))/(LN(2)/25)*Calculateur!V185*Calculateur!X185*VLOOKUP('Données projet'!$B$9,Paramètres!$A$1:$I$89,3,0)*0.475*44/12</f>
        <v>0.65830728244558856</v>
      </c>
      <c r="AB185" s="21">
        <f>EXP(-LN(2)/2)*AB184+(1-EXP(-LN(2)/2))/(LN(2)/2)*V185*Y185*VLOOKUP('Données projet'!$B$9,Paramètres!$A$1:$I$89,3,0)*0.475*44/12</f>
        <v>5.6980347233768864E-24</v>
      </c>
      <c r="AC185" s="22">
        <f t="shared" si="163"/>
        <v>17.713684467128616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311.298</v>
      </c>
      <c r="AK185" s="13">
        <f t="shared" si="164"/>
        <v>73.539838278528748</v>
      </c>
      <c r="AL185" s="20">
        <f t="shared" si="165"/>
        <v>670.25923500177089</v>
      </c>
      <c r="AM185" s="59">
        <f t="shared" si="113"/>
        <v>963.59256833510426</v>
      </c>
      <c r="AN185" s="59">
        <f ca="1">AVERAGE(OFFSET($AM$3,0,0,'Données projet'!$E$10+1,1))-AVERAGE(OFFSET($H$3,0,0,'Données projet'!$E$10+1,1))</f>
        <v>392.48436003609055</v>
      </c>
      <c r="AO185" s="59">
        <f t="shared" si="144"/>
        <v>236.3312446580419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29.761193487304805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29.761193487304805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404.99999999999989</v>
      </c>
      <c r="BE185" s="13">
        <f>BD185*VLOOKUP('Données projet'!$B$11,Paramètres!$A$1:$I$89,3,0)*VLOOKUP('Données projet'!$B$11,Paramètres!$A$1:$I$89,5,0)</f>
        <v>347.4899999999999</v>
      </c>
      <c r="BF185" s="13">
        <f t="shared" si="167"/>
        <v>81.045459877391451</v>
      </c>
      <c r="BG185" s="20">
        <f t="shared" si="168"/>
        <v>746.36592595312322</v>
      </c>
      <c r="BH185" s="59">
        <f t="shared" si="116"/>
        <v>1039.6992592864565</v>
      </c>
      <c r="BI185" s="59">
        <f ca="1">AVERAGE(OFFSET($BH$3,0,0,'Données projet'!$E$11+1,1))-AVERAGE(OFFSET($H$3,0,0,'Données projet'!$E$11+1,1))</f>
        <v>352.61091660077574</v>
      </c>
      <c r="BJ185" s="59">
        <f t="shared" si="146"/>
        <v>186.48649111821521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29.145513862450102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29.145513862450102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795.00000000000068</v>
      </c>
      <c r="O186" s="13">
        <f>N186*VLOOKUP('Données projet'!$B$9,Paramètres!$A$1:$I$89,3,0)*VLOOKUP('Données projet'!$B$9,Paramètres!$A$1:$I$89,5,0)</f>
        <v>372.06000000000029</v>
      </c>
      <c r="P186" s="13">
        <f t="shared" si="141"/>
        <v>86.088609967897526</v>
      </c>
      <c r="Q186" s="20">
        <f t="shared" si="162"/>
        <v>797.94216236075533</v>
      </c>
      <c r="R186" s="59">
        <f t="shared" si="109"/>
        <v>1091.2754956940887</v>
      </c>
      <c r="S186" s="59">
        <f ca="1">AVERAGE(OFFSET($R$3,0,0,'Données projet'!$E$9+1,1))-AVERAGE(OFFSET($H$3,0,0,'Données projet'!$E$9+1,1))</f>
        <v>379.12827535040157</v>
      </c>
      <c r="T186" s="59">
        <f t="shared" si="142"/>
        <v>317.29813413796956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16.720931640844292</v>
      </c>
      <c r="AA186" s="21">
        <f>EXP(-LN(2)/25)*AA185+(1-EXP(-LN(2)/25))/(LN(2)/25)*Calculateur!V186*Calculateur!X186*VLOOKUP('Données projet'!$B$9,Paramètres!$A$1:$I$89,3,0)*0.475*44/12</f>
        <v>0.64030583518823858</v>
      </c>
      <c r="AB186" s="21">
        <f>EXP(-LN(2)/2)*AB185+(1-EXP(-LN(2)/2))/(LN(2)/2)*V186*Y186*VLOOKUP('Données projet'!$B$9,Paramètres!$A$1:$I$89,3,0)*0.475*44/12</f>
        <v>4.0291189923362098E-24</v>
      </c>
      <c r="AC186" s="22">
        <f t="shared" si="163"/>
        <v>17.361237476032532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311.298</v>
      </c>
      <c r="AK186" s="13">
        <f t="shared" si="164"/>
        <v>73.539838278528748</v>
      </c>
      <c r="AL186" s="20">
        <f t="shared" si="165"/>
        <v>670.25923500177089</v>
      </c>
      <c r="AM186" s="59">
        <f t="shared" si="113"/>
        <v>963.59256833510426</v>
      </c>
      <c r="AN186" s="59">
        <f ca="1">AVERAGE(OFFSET($AM$3,0,0,'Données projet'!$E$10+1,1))-AVERAGE(OFFSET($H$3,0,0,'Données projet'!$E$10+1,1))</f>
        <v>392.48436003609055</v>
      </c>
      <c r="AO186" s="59">
        <f t="shared" si="144"/>
        <v>236.3312446580419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29.177594635554371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29.177594635554371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404.99999999999989</v>
      </c>
      <c r="BE186" s="13">
        <f>BD186*VLOOKUP('Données projet'!$B$11,Paramètres!$A$1:$I$89,3,0)*VLOOKUP('Données projet'!$B$11,Paramètres!$A$1:$I$89,5,0)</f>
        <v>347.4899999999999</v>
      </c>
      <c r="BF186" s="13">
        <f t="shared" si="167"/>
        <v>81.045459877391451</v>
      </c>
      <c r="BG186" s="20">
        <f t="shared" si="168"/>
        <v>746.36592595312322</v>
      </c>
      <c r="BH186" s="59">
        <f t="shared" si="116"/>
        <v>1039.6992592864565</v>
      </c>
      <c r="BI186" s="59">
        <f ca="1">AVERAGE(OFFSET($BH$3,0,0,'Données projet'!$E$11+1,1))-AVERAGE(OFFSET($H$3,0,0,'Données projet'!$E$11+1,1))</f>
        <v>352.61091660077574</v>
      </c>
      <c r="BJ186" s="59">
        <f t="shared" si="146"/>
        <v>186.48649111821521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28.573988112615577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28.573988112615577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795.00000000000068</v>
      </c>
      <c r="O187" s="13">
        <f>N187*VLOOKUP('Données projet'!$B$9,Paramètres!$A$1:$I$89,3,0)*VLOOKUP('Données projet'!$B$9,Paramètres!$A$1:$I$89,5,0)</f>
        <v>372.06000000000029</v>
      </c>
      <c r="P187" s="13">
        <f t="shared" si="141"/>
        <v>86.088609967897526</v>
      </c>
      <c r="Q187" s="20">
        <f t="shared" si="162"/>
        <v>797.94216236075533</v>
      </c>
      <c r="R187" s="59">
        <f t="shared" si="109"/>
        <v>1091.2754956940887</v>
      </c>
      <c r="S187" s="59">
        <f ca="1">AVERAGE(OFFSET($R$3,0,0,'Données projet'!$E$9+1,1))-AVERAGE(OFFSET($H$3,0,0,'Données projet'!$E$9+1,1))</f>
        <v>379.12827535040157</v>
      </c>
      <c r="T187" s="59">
        <f t="shared" si="142"/>
        <v>317.29813413796956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16.393044370128592</v>
      </c>
      <c r="AA187" s="21">
        <f>EXP(-LN(2)/25)*AA186+(1-EXP(-LN(2)/25))/(LN(2)/25)*Calculateur!V187*Calculateur!X187*VLOOKUP('Données projet'!$B$9,Paramètres!$A$1:$I$89,3,0)*0.475*44/12</f>
        <v>0.62279663845279576</v>
      </c>
      <c r="AB187" s="21">
        <f>EXP(-LN(2)/2)*AB186+(1-EXP(-LN(2)/2))/(LN(2)/2)*V187*Y187*VLOOKUP('Données projet'!$B$9,Paramètres!$A$1:$I$89,3,0)*0.475*44/12</f>
        <v>2.8490173616884432E-24</v>
      </c>
      <c r="AC187" s="22">
        <f t="shared" si="163"/>
        <v>17.01584100858139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311.298</v>
      </c>
      <c r="AK187" s="13">
        <f t="shared" si="164"/>
        <v>73.539838278528748</v>
      </c>
      <c r="AL187" s="20">
        <f t="shared" si="165"/>
        <v>670.25923500177089</v>
      </c>
      <c r="AM187" s="59">
        <f t="shared" si="113"/>
        <v>963.59256833510426</v>
      </c>
      <c r="AN187" s="59">
        <f ca="1">AVERAGE(OFFSET($AM$3,0,0,'Données projet'!$E$10+1,1))-AVERAGE(OFFSET($H$3,0,0,'Données projet'!$E$10+1,1))</f>
        <v>392.48436003609055</v>
      </c>
      <c r="AO187" s="59">
        <f t="shared" si="144"/>
        <v>236.3312446580419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28.605439801326611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28.605439801326611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404.99999999999989</v>
      </c>
      <c r="BE187" s="13">
        <f>BD187*VLOOKUP('Données projet'!$B$11,Paramètres!$A$1:$I$89,3,0)*VLOOKUP('Données projet'!$B$11,Paramètres!$A$1:$I$89,5,0)</f>
        <v>347.4899999999999</v>
      </c>
      <c r="BF187" s="13">
        <f t="shared" si="167"/>
        <v>81.045459877391451</v>
      </c>
      <c r="BG187" s="20">
        <f t="shared" si="168"/>
        <v>746.36592595312322</v>
      </c>
      <c r="BH187" s="59">
        <f t="shared" si="116"/>
        <v>1039.6992592864565</v>
      </c>
      <c r="BI187" s="59">
        <f ca="1">AVERAGE(OFFSET($BH$3,0,0,'Données projet'!$E$11+1,1))-AVERAGE(OFFSET($H$3,0,0,'Données projet'!$E$11+1,1))</f>
        <v>352.61091660077574</v>
      </c>
      <c r="BJ187" s="59">
        <f t="shared" si="146"/>
        <v>186.48649111821521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28.013669634139021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28.013669634139021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795.00000000000068</v>
      </c>
      <c r="O188" s="13">
        <f>N188*VLOOKUP('Données projet'!$B$9,Paramètres!$A$1:$I$89,3,0)*VLOOKUP('Données projet'!$B$9,Paramètres!$A$1:$I$89,5,0)</f>
        <v>372.06000000000029</v>
      </c>
      <c r="P188" s="13">
        <f t="shared" si="141"/>
        <v>86.088609967897526</v>
      </c>
      <c r="Q188" s="20">
        <f t="shared" si="162"/>
        <v>797.94216236075533</v>
      </c>
      <c r="R188" s="59">
        <f t="shared" si="109"/>
        <v>1091.2754956940887</v>
      </c>
      <c r="S188" s="59">
        <f ca="1">AVERAGE(OFFSET($R$3,0,0,'Données projet'!$E$9+1,1))-AVERAGE(OFFSET($H$3,0,0,'Données projet'!$E$9+1,1))</f>
        <v>379.12827535040157</v>
      </c>
      <c r="T188" s="59">
        <f t="shared" si="142"/>
        <v>317.29813413796956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16.071586768800142</v>
      </c>
      <c r="AA188" s="21">
        <f>EXP(-LN(2)/25)*AA187+(1-EXP(-LN(2)/25))/(LN(2)/25)*Calculateur!V188*Calculateur!X188*VLOOKUP('Données projet'!$B$9,Paramètres!$A$1:$I$89,3,0)*0.475*44/12</f>
        <v>0.60576623162285226</v>
      </c>
      <c r="AB188" s="21">
        <f>EXP(-LN(2)/2)*AB187+(1-EXP(-LN(2)/2))/(LN(2)/2)*V188*Y188*VLOOKUP('Données projet'!$B$9,Paramètres!$A$1:$I$89,3,0)*0.475*44/12</f>
        <v>2.0145594961681049E-24</v>
      </c>
      <c r="AC188" s="22">
        <f t="shared" si="163"/>
        <v>16.677353000422993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311.298</v>
      </c>
      <c r="AK188" s="13">
        <f t="shared" si="164"/>
        <v>73.539838278528748</v>
      </c>
      <c r="AL188" s="20">
        <f t="shared" si="165"/>
        <v>670.25923500177089</v>
      </c>
      <c r="AM188" s="59">
        <f t="shared" si="113"/>
        <v>963.59256833510426</v>
      </c>
      <c r="AN188" s="59">
        <f ca="1">AVERAGE(OFFSET($AM$3,0,0,'Données projet'!$E$10+1,1))-AVERAGE(OFFSET($H$3,0,0,'Données projet'!$E$10+1,1))</f>
        <v>392.48436003609055</v>
      </c>
      <c r="AO188" s="59">
        <f t="shared" si="144"/>
        <v>236.3312446580419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28.044504574418067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28.044504574418067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404.99999999999989</v>
      </c>
      <c r="BE188" s="13">
        <f>BD188*VLOOKUP('Données projet'!$B$11,Paramètres!$A$1:$I$89,3,0)*VLOOKUP('Données projet'!$B$11,Paramètres!$A$1:$I$89,5,0)</f>
        <v>347.4899999999999</v>
      </c>
      <c r="BF188" s="13">
        <f t="shared" si="167"/>
        <v>81.045459877391451</v>
      </c>
      <c r="BG188" s="20">
        <f t="shared" si="168"/>
        <v>746.36592595312322</v>
      </c>
      <c r="BH188" s="59">
        <f t="shared" si="116"/>
        <v>1039.6992592864565</v>
      </c>
      <c r="BI188" s="59">
        <f ca="1">AVERAGE(OFFSET($BH$3,0,0,'Données projet'!$E$11+1,1))-AVERAGE(OFFSET($H$3,0,0,'Données projet'!$E$11+1,1))</f>
        <v>352.61091660077574</v>
      </c>
      <c r="BJ188" s="59">
        <f t="shared" si="146"/>
        <v>186.48649111821521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27.464338659264865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27.464338659264865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795.00000000000068</v>
      </c>
      <c r="O189" s="13">
        <f>N189*VLOOKUP('Données projet'!$B$9,Paramètres!$A$1:$I$89,3,0)*VLOOKUP('Données projet'!$B$9,Paramètres!$A$1:$I$89,5,0)</f>
        <v>372.06000000000029</v>
      </c>
      <c r="P189" s="13">
        <f t="shared" si="141"/>
        <v>86.088609967897526</v>
      </c>
      <c r="Q189" s="20">
        <f t="shared" si="162"/>
        <v>797.94216236075533</v>
      </c>
      <c r="R189" s="59">
        <f t="shared" si="109"/>
        <v>1091.2754956940887</v>
      </c>
      <c r="S189" s="59">
        <f ca="1">AVERAGE(OFFSET($R$3,0,0,'Données projet'!$E$9+1,1))-AVERAGE(OFFSET($H$3,0,0,'Données projet'!$E$9+1,1))</f>
        <v>379.12827535040157</v>
      </c>
      <c r="T189" s="59">
        <f t="shared" si="142"/>
        <v>317.29813413796956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15.756432754963964</v>
      </c>
      <c r="AA189" s="21">
        <f>EXP(-LN(2)/25)*AA188+(1-EXP(-LN(2)/25))/(LN(2)/25)*Calculateur!V189*Calculateur!X189*VLOOKUP('Données projet'!$B$9,Paramètres!$A$1:$I$89,3,0)*0.475*44/12</f>
        <v>0.58920152216326371</v>
      </c>
      <c r="AB189" s="21">
        <f>EXP(-LN(2)/2)*AB188+(1-EXP(-LN(2)/2))/(LN(2)/2)*V189*Y189*VLOOKUP('Données projet'!$B$9,Paramètres!$A$1:$I$89,3,0)*0.475*44/12</f>
        <v>1.4245086808442216E-24</v>
      </c>
      <c r="AC189" s="22">
        <f t="shared" si="163"/>
        <v>16.345634277127228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311.298</v>
      </c>
      <c r="AK189" s="13">
        <f t="shared" si="164"/>
        <v>73.539838278528748</v>
      </c>
      <c r="AL189" s="20">
        <f t="shared" si="165"/>
        <v>670.25923500177089</v>
      </c>
      <c r="AM189" s="59">
        <f t="shared" si="113"/>
        <v>963.59256833510426</v>
      </c>
      <c r="AN189" s="59">
        <f ca="1">AVERAGE(OFFSET($AM$3,0,0,'Données projet'!$E$10+1,1))-AVERAGE(OFFSET($H$3,0,0,'Données projet'!$E$10+1,1))</f>
        <v>392.48436003609055</v>
      </c>
      <c r="AO189" s="59">
        <f t="shared" si="144"/>
        <v>236.3312446580419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27.494568945172496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27.494568945172496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404.99999999999989</v>
      </c>
      <c r="BE189" s="13">
        <f>BD189*VLOOKUP('Données projet'!$B$11,Paramètres!$A$1:$I$89,3,0)*VLOOKUP('Données projet'!$B$11,Paramètres!$A$1:$I$89,5,0)</f>
        <v>347.4899999999999</v>
      </c>
      <c r="BF189" s="13">
        <f t="shared" si="167"/>
        <v>81.045459877391451</v>
      </c>
      <c r="BG189" s="20">
        <f t="shared" si="168"/>
        <v>746.36592595312322</v>
      </c>
      <c r="BH189" s="59">
        <f t="shared" si="116"/>
        <v>1039.6992592864565</v>
      </c>
      <c r="BI189" s="59">
        <f ca="1">AVERAGE(OFFSET($BH$3,0,0,'Données projet'!$E$11+1,1))-AVERAGE(OFFSET($H$3,0,0,'Données projet'!$E$11+1,1))</f>
        <v>352.61091660077574</v>
      </c>
      <c r="BJ189" s="59">
        <f t="shared" si="146"/>
        <v>186.48649111821521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26.925779729749181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26.925779729749181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795.00000000000068</v>
      </c>
      <c r="O190" s="13">
        <f>N190*VLOOKUP('Données projet'!$B$9,Paramètres!$A$1:$I$89,3,0)*VLOOKUP('Données projet'!$B$9,Paramètres!$A$1:$I$89,5,0)</f>
        <v>372.06000000000029</v>
      </c>
      <c r="P190" s="13">
        <f t="shared" si="141"/>
        <v>86.088609967897526</v>
      </c>
      <c r="Q190" s="20">
        <f t="shared" si="162"/>
        <v>797.94216236075533</v>
      </c>
      <c r="R190" s="59">
        <f t="shared" si="109"/>
        <v>1091.2754956940887</v>
      </c>
      <c r="S190" s="59">
        <f ca="1">AVERAGE(OFFSET($R$3,0,0,'Données projet'!$E$9+1,1))-AVERAGE(OFFSET($H$3,0,0,'Données projet'!$E$9+1,1))</f>
        <v>379.12827535040157</v>
      </c>
      <c r="T190" s="59">
        <f t="shared" si="142"/>
        <v>317.29813413796956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15.447458719114145</v>
      </c>
      <c r="AA190" s="21">
        <f>EXP(-LN(2)/25)*AA189+(1-EXP(-LN(2)/25))/(LN(2)/25)*Calculateur!V190*Calculateur!X190*VLOOKUP('Données projet'!$B$9,Paramètres!$A$1:$I$89,3,0)*0.475*44/12</f>
        <v>0.57308977555494789</v>
      </c>
      <c r="AB190" s="21">
        <f>EXP(-LN(2)/2)*AB189+(1-EXP(-LN(2)/2))/(LN(2)/2)*V190*Y190*VLOOKUP('Données projet'!$B$9,Paramètres!$A$1:$I$89,3,0)*0.475*44/12</f>
        <v>1.0072797480840525E-24</v>
      </c>
      <c r="AC190" s="22">
        <f t="shared" si="163"/>
        <v>16.020548494669093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311.298</v>
      </c>
      <c r="AK190" s="13">
        <f t="shared" si="164"/>
        <v>73.539838278528748</v>
      </c>
      <c r="AL190" s="20">
        <f t="shared" si="165"/>
        <v>670.25923500177089</v>
      </c>
      <c r="AM190" s="59">
        <f t="shared" si="113"/>
        <v>963.59256833510426</v>
      </c>
      <c r="AN190" s="59">
        <f ca="1">AVERAGE(OFFSET($AM$3,0,0,'Données projet'!$E$10+1,1))-AVERAGE(OFFSET($H$3,0,0,'Données projet'!$E$10+1,1))</f>
        <v>392.48436003609055</v>
      </c>
      <c r="AO190" s="59">
        <f t="shared" si="144"/>
        <v>236.3312446580419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26.955417218188817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26.955417218188817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404.99999999999989</v>
      </c>
      <c r="BE190" s="13">
        <f>BD190*VLOOKUP('Données projet'!$B$11,Paramètres!$A$1:$I$89,3,0)*VLOOKUP('Données projet'!$B$11,Paramètres!$A$1:$I$89,5,0)</f>
        <v>347.4899999999999</v>
      </c>
      <c r="BF190" s="13">
        <f t="shared" si="167"/>
        <v>81.045459877391451</v>
      </c>
      <c r="BG190" s="20">
        <f t="shared" si="168"/>
        <v>746.36592595312322</v>
      </c>
      <c r="BH190" s="59">
        <f t="shared" si="116"/>
        <v>1039.6992592864565</v>
      </c>
      <c r="BI190" s="59">
        <f ca="1">AVERAGE(OFFSET($BH$3,0,0,'Données projet'!$E$11+1,1))-AVERAGE(OFFSET($H$3,0,0,'Données projet'!$E$11+1,1))</f>
        <v>352.61091660077574</v>
      </c>
      <c r="BJ190" s="59">
        <f t="shared" si="146"/>
        <v>186.48649111821521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26.397781612352787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26.397781612352787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795.00000000000068</v>
      </c>
      <c r="O191" s="13">
        <f>N191*VLOOKUP('Données projet'!$B$9,Paramètres!$A$1:$I$89,3,0)*VLOOKUP('Données projet'!$B$9,Paramètres!$A$1:$I$89,5,0)</f>
        <v>372.06000000000029</v>
      </c>
      <c r="P191" s="13">
        <f t="shared" si="141"/>
        <v>86.088609967897526</v>
      </c>
      <c r="Q191" s="20">
        <f t="shared" si="162"/>
        <v>797.94216236075533</v>
      </c>
      <c r="R191" s="59">
        <f t="shared" si="109"/>
        <v>1091.2754956940887</v>
      </c>
      <c r="S191" s="59">
        <f ca="1">AVERAGE(OFFSET($R$3,0,0,'Données projet'!$E$9+1,1))-AVERAGE(OFFSET($H$3,0,0,'Données projet'!$E$9+1,1))</f>
        <v>379.12827535040157</v>
      </c>
      <c r="T191" s="59">
        <f t="shared" si="142"/>
        <v>317.29813413796956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15.144543475651789</v>
      </c>
      <c r="AA191" s="21">
        <f>EXP(-LN(2)/25)*AA190+(1-EXP(-LN(2)/25))/(LN(2)/25)*Calculateur!V191*Calculateur!X191*VLOOKUP('Données projet'!$B$9,Paramètres!$A$1:$I$89,3,0)*0.475*44/12</f>
        <v>0.5574186055049164</v>
      </c>
      <c r="AB191" s="21">
        <f>EXP(-LN(2)/2)*AB190+(1-EXP(-LN(2)/2))/(LN(2)/2)*V191*Y191*VLOOKUP('Données projet'!$B$9,Paramètres!$A$1:$I$89,3,0)*0.475*44/12</f>
        <v>7.122543404221108E-25</v>
      </c>
      <c r="AC191" s="22">
        <f t="shared" si="163"/>
        <v>15.701962081156704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311.298</v>
      </c>
      <c r="AK191" s="13">
        <f t="shared" si="164"/>
        <v>73.539838278528748</v>
      </c>
      <c r="AL191" s="20">
        <f t="shared" si="165"/>
        <v>670.25923500177089</v>
      </c>
      <c r="AM191" s="59">
        <f t="shared" si="113"/>
        <v>963.59256833510426</v>
      </c>
      <c r="AN191" s="59">
        <f ca="1">AVERAGE(OFFSET($AM$3,0,0,'Données projet'!$E$10+1,1))-AVERAGE(OFFSET($H$3,0,0,'Données projet'!$E$10+1,1))</f>
        <v>392.48436003609055</v>
      </c>
      <c r="AO191" s="59">
        <f t="shared" si="144"/>
        <v>236.3312446580419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26.426837927721206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26.426837927721206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404.99999999999989</v>
      </c>
      <c r="BE191" s="13">
        <f>BD191*VLOOKUP('Données projet'!$B$11,Paramètres!$A$1:$I$89,3,0)*VLOOKUP('Données projet'!$B$11,Paramètres!$A$1:$I$89,5,0)</f>
        <v>347.4899999999999</v>
      </c>
      <c r="BF191" s="13">
        <f t="shared" si="167"/>
        <v>81.045459877391451</v>
      </c>
      <c r="BG191" s="20">
        <f t="shared" si="168"/>
        <v>746.36592595312322</v>
      </c>
      <c r="BH191" s="59">
        <f t="shared" si="116"/>
        <v>1039.6992592864565</v>
      </c>
      <c r="BI191" s="59">
        <f ca="1">AVERAGE(OFFSET($BH$3,0,0,'Données projet'!$E$11+1,1))-AVERAGE(OFFSET($H$3,0,0,'Données projet'!$E$11+1,1))</f>
        <v>352.61091660077574</v>
      </c>
      <c r="BJ191" s="59">
        <f t="shared" si="146"/>
        <v>186.48649111821521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25.880137215991486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25.880137215991486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795.00000000000068</v>
      </c>
      <c r="O192" s="13">
        <f>N192*VLOOKUP('Données projet'!$B$9,Paramètres!$A$1:$I$89,3,0)*VLOOKUP('Données projet'!$B$9,Paramètres!$A$1:$I$89,5,0)</f>
        <v>372.06000000000029</v>
      </c>
      <c r="P192" s="13">
        <f t="shared" si="141"/>
        <v>86.088609967897526</v>
      </c>
      <c r="Q192" s="20">
        <f t="shared" si="162"/>
        <v>797.94216236075533</v>
      </c>
      <c r="R192" s="59">
        <f t="shared" si="109"/>
        <v>1091.2754956940887</v>
      </c>
      <c r="S192" s="59">
        <f ca="1">AVERAGE(OFFSET($R$3,0,0,'Données projet'!$E$9+1,1))-AVERAGE(OFFSET($H$3,0,0,'Données projet'!$E$9+1,1))</f>
        <v>379.12827535040157</v>
      </c>
      <c r="T192" s="59">
        <f t="shared" si="142"/>
        <v>317.29813413796956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14.847568215353673</v>
      </c>
      <c r="AA192" s="21">
        <f>EXP(-LN(2)/25)*AA191+(1-EXP(-LN(2)/25))/(LN(2)/25)*Calculateur!V192*Calculateur!X192*VLOOKUP('Données projet'!$B$9,Paramètres!$A$1:$I$89,3,0)*0.475*44/12</f>
        <v>0.54217596442401395</v>
      </c>
      <c r="AB192" s="21">
        <f>EXP(-LN(2)/2)*AB191+(1-EXP(-LN(2)/2))/(LN(2)/2)*V192*Y192*VLOOKUP('Données projet'!$B$9,Paramètres!$A$1:$I$89,3,0)*0.475*44/12</f>
        <v>5.0363987404202623E-25</v>
      </c>
      <c r="AC192" s="22">
        <f t="shared" si="163"/>
        <v>15.389744179777688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311.298</v>
      </c>
      <c r="AK192" s="13">
        <f t="shared" si="164"/>
        <v>73.539838278528748</v>
      </c>
      <c r="AL192" s="20">
        <f t="shared" si="165"/>
        <v>670.25923500177089</v>
      </c>
      <c r="AM192" s="59">
        <f t="shared" si="113"/>
        <v>963.59256833510426</v>
      </c>
      <c r="AN192" s="59">
        <f ca="1">AVERAGE(OFFSET($AM$3,0,0,'Données projet'!$E$10+1,1))-AVERAGE(OFFSET($H$3,0,0,'Données projet'!$E$10+1,1))</f>
        <v>392.48436003609055</v>
      </c>
      <c r="AO192" s="59">
        <f t="shared" si="144"/>
        <v>236.3312446580419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25.90862375473813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25.90862375473813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404.99999999999989</v>
      </c>
      <c r="BE192" s="13">
        <f>BD192*VLOOKUP('Données projet'!$B$11,Paramètres!$A$1:$I$89,3,0)*VLOOKUP('Données projet'!$B$11,Paramètres!$A$1:$I$89,5,0)</f>
        <v>347.4899999999999</v>
      </c>
      <c r="BF192" s="13">
        <f t="shared" si="167"/>
        <v>81.045459877391451</v>
      </c>
      <c r="BG192" s="20">
        <f t="shared" si="168"/>
        <v>746.36592595312322</v>
      </c>
      <c r="BH192" s="59">
        <f t="shared" si="116"/>
        <v>1039.6992592864565</v>
      </c>
      <c r="BI192" s="59">
        <f ca="1">AVERAGE(OFFSET($BH$3,0,0,'Données projet'!$E$11+1,1))-AVERAGE(OFFSET($H$3,0,0,'Données projet'!$E$11+1,1))</f>
        <v>352.61091660077574</v>
      </c>
      <c r="BJ192" s="59">
        <f t="shared" si="146"/>
        <v>186.48649111821521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25.372643510510922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25.372643510510922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795.00000000000068</v>
      </c>
      <c r="O193" s="13">
        <f>N193*VLOOKUP('Données projet'!$B$9,Paramètres!$A$1:$I$89,3,0)*VLOOKUP('Données projet'!$B$9,Paramètres!$A$1:$I$89,5,0)</f>
        <v>372.06000000000029</v>
      </c>
      <c r="P193" s="13">
        <f t="shared" si="141"/>
        <v>86.088609967897526</v>
      </c>
      <c r="Q193" s="20">
        <f t="shared" si="162"/>
        <v>797.94216236075533</v>
      </c>
      <c r="R193" s="59">
        <f t="shared" si="109"/>
        <v>1091.2754956940887</v>
      </c>
      <c r="S193" s="59">
        <f ca="1">AVERAGE(OFFSET($R$3,0,0,'Données projet'!$E$9+1,1))-AVERAGE(OFFSET($H$3,0,0,'Données projet'!$E$9+1,1))</f>
        <v>379.12827535040157</v>
      </c>
      <c r="T193" s="59">
        <f t="shared" si="142"/>
        <v>317.29813413796956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14.556416458772981</v>
      </c>
      <c r="AA193" s="21">
        <f>EXP(-LN(2)/25)*AA192+(1-EXP(-LN(2)/25))/(LN(2)/25)*Calculateur!V193*Calculateur!X193*VLOOKUP('Données projet'!$B$9,Paramètres!$A$1:$I$89,3,0)*0.475*44/12</f>
        <v>0.5273501341650445</v>
      </c>
      <c r="AB193" s="21">
        <f>EXP(-LN(2)/2)*AB192+(1-EXP(-LN(2)/2))/(LN(2)/2)*V193*Y193*VLOOKUP('Données projet'!$B$9,Paramètres!$A$1:$I$89,3,0)*0.475*44/12</f>
        <v>3.561271702110554E-25</v>
      </c>
      <c r="AC193" s="22">
        <f t="shared" si="163"/>
        <v>15.083766592938025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311.298</v>
      </c>
      <c r="AK193" s="13">
        <f t="shared" si="164"/>
        <v>73.539838278528748</v>
      </c>
      <c r="AL193" s="20">
        <f t="shared" si="165"/>
        <v>670.25923500177089</v>
      </c>
      <c r="AM193" s="59">
        <f t="shared" si="113"/>
        <v>963.59256833510426</v>
      </c>
      <c r="AN193" s="59">
        <f ca="1">AVERAGE(OFFSET($AM$3,0,0,'Données projet'!$E$10+1,1))-AVERAGE(OFFSET($H$3,0,0,'Données projet'!$E$10+1,1))</f>
        <v>392.48436003609055</v>
      </c>
      <c r="AO193" s="59">
        <f t="shared" si="144"/>
        <v>236.3312446580419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25.40057144560782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25.40057144560782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404.99999999999989</v>
      </c>
      <c r="BE193" s="13">
        <f>BD193*VLOOKUP('Données projet'!$B$11,Paramètres!$A$1:$I$89,3,0)*VLOOKUP('Données projet'!$B$11,Paramètres!$A$1:$I$89,5,0)</f>
        <v>347.4899999999999</v>
      </c>
      <c r="BF193" s="13">
        <f t="shared" si="167"/>
        <v>81.045459877391451</v>
      </c>
      <c r="BG193" s="20">
        <f t="shared" si="168"/>
        <v>746.36592595312322</v>
      </c>
      <c r="BH193" s="59">
        <f t="shared" si="116"/>
        <v>1039.6992592864565</v>
      </c>
      <c r="BI193" s="59">
        <f ca="1">AVERAGE(OFFSET($BH$3,0,0,'Données projet'!$E$11+1,1))-AVERAGE(OFFSET($H$3,0,0,'Données projet'!$E$11+1,1))</f>
        <v>352.61091660077574</v>
      </c>
      <c r="BJ193" s="59">
        <f t="shared" si="146"/>
        <v>186.48649111821521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24.875101447054238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24.875101447054238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795.00000000000068</v>
      </c>
      <c r="O194" s="13">
        <f>N194*VLOOKUP('Données projet'!$B$9,Paramètres!$A$1:$I$89,3,0)*VLOOKUP('Données projet'!$B$9,Paramètres!$A$1:$I$89,5,0)</f>
        <v>372.06000000000029</v>
      </c>
      <c r="P194" s="13">
        <f t="shared" si="141"/>
        <v>86.088609967897526</v>
      </c>
      <c r="Q194" s="20">
        <f t="shared" si="162"/>
        <v>797.94216236075533</v>
      </c>
      <c r="R194" s="59">
        <f t="shared" si="109"/>
        <v>1091.2754956940887</v>
      </c>
      <c r="S194" s="59">
        <f ca="1">AVERAGE(OFFSET($R$3,0,0,'Données projet'!$E$9+1,1))-AVERAGE(OFFSET($H$3,0,0,'Données projet'!$E$9+1,1))</f>
        <v>379.12827535040157</v>
      </c>
      <c r="T194" s="59">
        <f t="shared" si="142"/>
        <v>317.29813413796956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14.2709740105538</v>
      </c>
      <c r="AA194" s="21">
        <f>EXP(-LN(2)/25)*AA193+(1-EXP(-LN(2)/25))/(LN(2)/25)*Calculateur!V194*Calculateur!X194*VLOOKUP('Données projet'!$B$9,Paramètres!$A$1:$I$89,3,0)*0.475*44/12</f>
        <v>0.51292971701416312</v>
      </c>
      <c r="AB194" s="21">
        <f>EXP(-LN(2)/2)*AB193+(1-EXP(-LN(2)/2))/(LN(2)/2)*V194*Y194*VLOOKUP('Données projet'!$B$9,Paramètres!$A$1:$I$89,3,0)*0.475*44/12</f>
        <v>2.5181993702101311E-25</v>
      </c>
      <c r="AC194" s="22">
        <f t="shared" si="163"/>
        <v>14.783903727567964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311.298</v>
      </c>
      <c r="AK194" s="13">
        <f t="shared" si="164"/>
        <v>73.539838278528748</v>
      </c>
      <c r="AL194" s="20">
        <f t="shared" si="165"/>
        <v>670.25923500177089</v>
      </c>
      <c r="AM194" s="59">
        <f t="shared" si="113"/>
        <v>963.59256833510426</v>
      </c>
      <c r="AN194" s="59">
        <f ca="1">AVERAGE(OFFSET($AM$3,0,0,'Données projet'!$E$10+1,1))-AVERAGE(OFFSET($H$3,0,0,'Données projet'!$E$10+1,1))</f>
        <v>392.48436003609055</v>
      </c>
      <c r="AO194" s="59">
        <f t="shared" si="144"/>
        <v>236.3312446580419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24.902481732378245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24.902481732378245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404.99999999999989</v>
      </c>
      <c r="BE194" s="13">
        <f>BD194*VLOOKUP('Données projet'!$B$11,Paramètres!$A$1:$I$89,3,0)*VLOOKUP('Données projet'!$B$11,Paramètres!$A$1:$I$89,5,0)</f>
        <v>347.4899999999999</v>
      </c>
      <c r="BF194" s="13">
        <f t="shared" si="167"/>
        <v>81.045459877391451</v>
      </c>
      <c r="BG194" s="20">
        <f t="shared" si="168"/>
        <v>746.36592595312322</v>
      </c>
      <c r="BH194" s="59">
        <f t="shared" si="116"/>
        <v>1039.6992592864565</v>
      </c>
      <c r="BI194" s="59">
        <f ca="1">AVERAGE(OFFSET($BH$3,0,0,'Données projet'!$E$11+1,1))-AVERAGE(OFFSET($H$3,0,0,'Données projet'!$E$11+1,1))</f>
        <v>352.61091660077574</v>
      </c>
      <c r="BJ194" s="59">
        <f t="shared" si="146"/>
        <v>186.48649111821521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24.387315879991245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24.387315879991245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795.00000000000068</v>
      </c>
      <c r="O195" s="13">
        <f>N195*VLOOKUP('Données projet'!$B$9,Paramètres!$A$1:$I$89,3,0)*VLOOKUP('Données projet'!$B$9,Paramètres!$A$1:$I$89,5,0)</f>
        <v>372.06000000000029</v>
      </c>
      <c r="P195" s="13">
        <f t="shared" si="141"/>
        <v>86.088609967897526</v>
      </c>
      <c r="Q195" s="20">
        <f t="shared" si="162"/>
        <v>797.94216236075533</v>
      </c>
      <c r="R195" s="59">
        <f t="shared" ref="R195:R203" si="191">Q195+(I195+J195)*44/12</f>
        <v>1091.2754956940887</v>
      </c>
      <c r="S195" s="59">
        <f ca="1">AVERAGE(OFFSET($R$3,0,0,'Données projet'!$E$9+1,1))-AVERAGE(OFFSET($H$3,0,0,'Données projet'!$E$9+1,1))</f>
        <v>379.12827535040157</v>
      </c>
      <c r="T195" s="59">
        <f t="shared" si="142"/>
        <v>317.29813413796956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13.991128914641495</v>
      </c>
      <c r="AA195" s="21">
        <f>EXP(-LN(2)/25)*AA194+(1-EXP(-LN(2)/25))/(LN(2)/25)*Calculateur!V195*Calculateur!X195*VLOOKUP('Données projet'!$B$9,Paramètres!$A$1:$I$89,3,0)*0.475*44/12</f>
        <v>0.49890362692860935</v>
      </c>
      <c r="AB195" s="21">
        <f>EXP(-LN(2)/2)*AB194+(1-EXP(-LN(2)/2))/(LN(2)/2)*V195*Y195*VLOOKUP('Données projet'!$B$9,Paramètres!$A$1:$I$89,3,0)*0.475*44/12</f>
        <v>1.780635851055277E-25</v>
      </c>
      <c r="AC195" s="22">
        <f t="shared" si="163"/>
        <v>14.490032541570104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311.298</v>
      </c>
      <c r="AK195" s="13">
        <f t="shared" si="164"/>
        <v>73.539838278528748</v>
      </c>
      <c r="AL195" s="20">
        <f t="shared" si="165"/>
        <v>670.25923500177089</v>
      </c>
      <c r="AM195" s="59">
        <f t="shared" si="113"/>
        <v>963.59256833510426</v>
      </c>
      <c r="AN195" s="59">
        <f ca="1">AVERAGE(OFFSET($AM$3,0,0,'Données projet'!$E$10+1,1))-AVERAGE(OFFSET($H$3,0,0,'Données projet'!$E$10+1,1))</f>
        <v>392.48436003609055</v>
      </c>
      <c r="AO195" s="59">
        <f t="shared" si="144"/>
        <v>236.3312446580419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24.414159254620373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24.414159254620373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404.99999999999989</v>
      </c>
      <c r="BE195" s="13">
        <f>BD195*VLOOKUP('Données projet'!$B$11,Paramètres!$A$1:$I$89,3,0)*VLOOKUP('Données projet'!$B$11,Paramètres!$A$1:$I$89,5,0)</f>
        <v>347.4899999999999</v>
      </c>
      <c r="BF195" s="13">
        <f t="shared" si="167"/>
        <v>81.045459877391451</v>
      </c>
      <c r="BG195" s="20">
        <f t="shared" si="168"/>
        <v>746.36592595312322</v>
      </c>
      <c r="BH195" s="59">
        <f t="shared" si="116"/>
        <v>1039.6992592864565</v>
      </c>
      <c r="BI195" s="59">
        <f ca="1">AVERAGE(OFFSET($BH$3,0,0,'Données projet'!$E$11+1,1))-AVERAGE(OFFSET($H$3,0,0,'Données projet'!$E$11+1,1))</f>
        <v>352.61091660077574</v>
      </c>
      <c r="BJ195" s="59">
        <f t="shared" si="146"/>
        <v>186.48649111821521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23.90909549037854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23.90909549037854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795.00000000000068</v>
      </c>
      <c r="O196" s="13">
        <f>N196*VLOOKUP('Données projet'!$B$9,Paramètres!$A$1:$I$89,3,0)*VLOOKUP('Données projet'!$B$9,Paramètres!$A$1:$I$89,5,0)</f>
        <v>372.06000000000029</v>
      </c>
      <c r="P196" s="13">
        <f t="shared" si="141"/>
        <v>86.088609967897526</v>
      </c>
      <c r="Q196" s="20">
        <f t="shared" si="162"/>
        <v>797.94216236075533</v>
      </c>
      <c r="R196" s="59">
        <f t="shared" si="191"/>
        <v>1091.2754956940887</v>
      </c>
      <c r="S196" s="59">
        <f ca="1">AVERAGE(OFFSET($R$3,0,0,'Données projet'!$E$9+1,1))-AVERAGE(OFFSET($H$3,0,0,'Données projet'!$E$9+1,1))</f>
        <v>379.12827535040157</v>
      </c>
      <c r="T196" s="59">
        <f t="shared" si="142"/>
        <v>317.29813413796956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13.716771410371376</v>
      </c>
      <c r="AA196" s="21">
        <f>EXP(-LN(2)/25)*AA195+(1-EXP(-LN(2)/25))/(LN(2)/25)*Calculateur!V196*Calculateur!X196*VLOOKUP('Données projet'!$B$9,Paramètres!$A$1:$I$89,3,0)*0.475*44/12</f>
        <v>0.48526108101404503</v>
      </c>
      <c r="AB196" s="21">
        <f>EXP(-LN(2)/2)*AB195+(1-EXP(-LN(2)/2))/(LN(2)/2)*V196*Y196*VLOOKUP('Données projet'!$B$9,Paramètres!$A$1:$I$89,3,0)*0.475*44/12</f>
        <v>1.2590996851050656E-25</v>
      </c>
      <c r="AC196" s="22">
        <f t="shared" si="163"/>
        <v>14.20203249138542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311.298</v>
      </c>
      <c r="AK196" s="13">
        <f t="shared" si="164"/>
        <v>73.539838278528748</v>
      </c>
      <c r="AL196" s="20">
        <f t="shared" si="165"/>
        <v>670.25923500177089</v>
      </c>
      <c r="AM196" s="59">
        <f t="shared" ref="AM196:AM203" si="193">AL196+(AD196+AE196)*44/12</f>
        <v>963.59256833510426</v>
      </c>
      <c r="AN196" s="59">
        <f ca="1">AVERAGE(OFFSET($AM$3,0,0,'Données projet'!$E$10+1,1))-AVERAGE(OFFSET($H$3,0,0,'Données projet'!$E$10+1,1))</f>
        <v>392.48436003609055</v>
      </c>
      <c r="AO196" s="59">
        <f t="shared" si="144"/>
        <v>236.3312446580419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23.935412482804033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23.935412482804033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404.99999999999989</v>
      </c>
      <c r="BE196" s="13">
        <f>BD196*VLOOKUP('Données projet'!$B$11,Paramètres!$A$1:$I$89,3,0)*VLOOKUP('Données projet'!$B$11,Paramètres!$A$1:$I$89,5,0)</f>
        <v>347.4899999999999</v>
      </c>
      <c r="BF196" s="13">
        <f t="shared" si="167"/>
        <v>81.045459877391451</v>
      </c>
      <c r="BG196" s="20">
        <f t="shared" si="168"/>
        <v>746.36592595312322</v>
      </c>
      <c r="BH196" s="59">
        <f t="shared" ref="BH196:BH203" si="194">BG196+(AY196+AZ196)*44/12</f>
        <v>1039.6992592864565</v>
      </c>
      <c r="BI196" s="59">
        <f ca="1">AVERAGE(OFFSET($BH$3,0,0,'Données projet'!$E$11+1,1))-AVERAGE(OFFSET($H$3,0,0,'Données projet'!$E$11+1,1))</f>
        <v>352.61091660077574</v>
      </c>
      <c r="BJ196" s="59">
        <f t="shared" si="146"/>
        <v>186.48649111821521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23.440252710920504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23.440252710920504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795.00000000000068</v>
      </c>
      <c r="O197" s="13">
        <f>N197*VLOOKUP('Données projet'!$B$9,Paramètres!$A$1:$I$89,3,0)*VLOOKUP('Données projet'!$B$9,Paramètres!$A$1:$I$89,5,0)</f>
        <v>372.06000000000029</v>
      </c>
      <c r="P197" s="13">
        <f t="shared" ref="P197:P203" si="203">EXP(-1.0587+0.8836*LN(O197)+0.284)</f>
        <v>86.088609967897526</v>
      </c>
      <c r="Q197" s="20">
        <f t="shared" si="162"/>
        <v>797.94216236075533</v>
      </c>
      <c r="R197" s="59">
        <f t="shared" si="191"/>
        <v>1091.2754956940887</v>
      </c>
      <c r="S197" s="59">
        <f ca="1">AVERAGE(OFFSET($R$3,0,0,'Données projet'!$E$9+1,1))-AVERAGE(OFFSET($H$3,0,0,'Données projet'!$E$9+1,1))</f>
        <v>379.12827535040157</v>
      </c>
      <c r="T197" s="59">
        <f t="shared" ref="T197:T203" si="204">$T$3</f>
        <v>317.29813413796956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13.44779388941844</v>
      </c>
      <c r="AA197" s="21">
        <f>EXP(-LN(2)/25)*AA196+(1-EXP(-LN(2)/25))/(LN(2)/25)*Calculateur!V197*Calculateur!X197*VLOOKUP('Données projet'!$B$9,Paramètres!$A$1:$I$89,3,0)*0.475*44/12</f>
        <v>0.47199159123494477</v>
      </c>
      <c r="AB197" s="21">
        <f>EXP(-LN(2)/2)*AB196+(1-EXP(-LN(2)/2))/(LN(2)/2)*V197*Y197*VLOOKUP('Données projet'!$B$9,Paramètres!$A$1:$I$89,3,0)*0.475*44/12</f>
        <v>8.903179255276385E-26</v>
      </c>
      <c r="AC197" s="22">
        <f t="shared" si="163"/>
        <v>13.919785480653385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311.298</v>
      </c>
      <c r="AK197" s="13">
        <f t="shared" si="164"/>
        <v>73.539838278528748</v>
      </c>
      <c r="AL197" s="20">
        <f t="shared" si="165"/>
        <v>670.25923500177089</v>
      </c>
      <c r="AM197" s="59">
        <f t="shared" si="193"/>
        <v>963.59256833510426</v>
      </c>
      <c r="AN197" s="59">
        <f ca="1">AVERAGE(OFFSET($AM$3,0,0,'Données projet'!$E$10+1,1))-AVERAGE(OFFSET($H$3,0,0,'Données projet'!$E$10+1,1))</f>
        <v>392.48436003609055</v>
      </c>
      <c r="AO197" s="59">
        <f t="shared" ref="AO197:AO203" si="205">$AO$3</f>
        <v>236.3312446580419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23.466053643176313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23.466053643176313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404.99999999999989</v>
      </c>
      <c r="BE197" s="13">
        <f>BD197*VLOOKUP('Données projet'!$B$11,Paramètres!$A$1:$I$89,3,0)*VLOOKUP('Données projet'!$B$11,Paramètres!$A$1:$I$89,5,0)</f>
        <v>347.4899999999999</v>
      </c>
      <c r="BF197" s="13">
        <f t="shared" si="167"/>
        <v>81.045459877391451</v>
      </c>
      <c r="BG197" s="20">
        <f t="shared" si="168"/>
        <v>746.36592595312322</v>
      </c>
      <c r="BH197" s="59">
        <f t="shared" si="194"/>
        <v>1039.6992592864565</v>
      </c>
      <c r="BI197" s="59">
        <f ca="1">AVERAGE(OFFSET($BH$3,0,0,'Données projet'!$E$11+1,1))-AVERAGE(OFFSET($H$3,0,0,'Données projet'!$E$11+1,1))</f>
        <v>352.61091660077574</v>
      </c>
      <c r="BJ197" s="59">
        <f t="shared" ref="BJ197:BJ203" si="206">$BJ$3</f>
        <v>186.48649111821521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22.980603652401779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22.980603652401779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795.00000000000068</v>
      </c>
      <c r="O198" s="13">
        <f>N198*VLOOKUP('Données projet'!$B$9,Paramètres!$A$1:$I$89,3,0)*VLOOKUP('Données projet'!$B$9,Paramètres!$A$1:$I$89,5,0)</f>
        <v>372.06000000000029</v>
      </c>
      <c r="P198" s="13">
        <f t="shared" si="203"/>
        <v>86.088609967897526</v>
      </c>
      <c r="Q198" s="20">
        <f t="shared" si="162"/>
        <v>797.94216236075533</v>
      </c>
      <c r="R198" s="59">
        <f t="shared" si="191"/>
        <v>1091.2754956940887</v>
      </c>
      <c r="S198" s="59">
        <f ca="1">AVERAGE(OFFSET($R$3,0,0,'Données projet'!$E$9+1,1))-AVERAGE(OFFSET($H$3,0,0,'Données projet'!$E$9+1,1))</f>
        <v>379.12827535040157</v>
      </c>
      <c r="T198" s="59">
        <f t="shared" si="204"/>
        <v>317.29813413796956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13.184090853591302</v>
      </c>
      <c r="AA198" s="21">
        <f>EXP(-LN(2)/25)*AA197+(1-EXP(-LN(2)/25))/(LN(2)/25)*Calculateur!V198*Calculateur!X198*VLOOKUP('Données projet'!$B$9,Paramètres!$A$1:$I$89,3,0)*0.475*44/12</f>
        <v>0.45908495635166618</v>
      </c>
      <c r="AB198" s="21">
        <f>EXP(-LN(2)/2)*AB197+(1-EXP(-LN(2)/2))/(LN(2)/2)*V198*Y198*VLOOKUP('Données projet'!$B$9,Paramètres!$A$1:$I$89,3,0)*0.475*44/12</f>
        <v>6.2954984255253278E-26</v>
      </c>
      <c r="AC198" s="22">
        <f t="shared" si="163"/>
        <v>13.643175809942969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311.298</v>
      </c>
      <c r="AK198" s="13">
        <f t="shared" si="164"/>
        <v>73.539838278528748</v>
      </c>
      <c r="AL198" s="20">
        <f t="shared" si="165"/>
        <v>670.25923500177089</v>
      </c>
      <c r="AM198" s="59">
        <f t="shared" si="193"/>
        <v>963.59256833510426</v>
      </c>
      <c r="AN198" s="59">
        <f ca="1">AVERAGE(OFFSET($AM$3,0,0,'Données projet'!$E$10+1,1))-AVERAGE(OFFSET($H$3,0,0,'Données projet'!$E$10+1,1))</f>
        <v>392.48436003609055</v>
      </c>
      <c r="AO198" s="59">
        <f t="shared" si="205"/>
        <v>236.3312446580419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23.005898644113067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23.005898644113067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404.99999999999989</v>
      </c>
      <c r="BE198" s="13">
        <f>BD198*VLOOKUP('Données projet'!$B$11,Paramètres!$A$1:$I$89,3,0)*VLOOKUP('Données projet'!$B$11,Paramètres!$A$1:$I$89,5,0)</f>
        <v>347.4899999999999</v>
      </c>
      <c r="BF198" s="13">
        <f t="shared" si="167"/>
        <v>81.045459877391451</v>
      </c>
      <c r="BG198" s="20">
        <f t="shared" si="168"/>
        <v>746.36592595312322</v>
      </c>
      <c r="BH198" s="59">
        <f t="shared" si="194"/>
        <v>1039.6992592864565</v>
      </c>
      <c r="BI198" s="59">
        <f ca="1">AVERAGE(OFFSET($BH$3,0,0,'Données projet'!$E$11+1,1))-AVERAGE(OFFSET($H$3,0,0,'Données projet'!$E$11+1,1))</f>
        <v>352.61091660077574</v>
      </c>
      <c r="BJ198" s="59">
        <f t="shared" si="206"/>
        <v>186.48649111821521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22.529968031562365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22.529968031562365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795.00000000000068</v>
      </c>
      <c r="O199" s="13">
        <f>N199*VLOOKUP('Données projet'!$B$9,Paramètres!$A$1:$I$89,3,0)*VLOOKUP('Données projet'!$B$9,Paramètres!$A$1:$I$89,5,0)</f>
        <v>372.06000000000029</v>
      </c>
      <c r="P199" s="13">
        <f t="shared" si="203"/>
        <v>86.088609967897526</v>
      </c>
      <c r="Q199" s="20">
        <f t="shared" si="162"/>
        <v>797.94216236075533</v>
      </c>
      <c r="R199" s="59">
        <f t="shared" si="191"/>
        <v>1091.2754956940887</v>
      </c>
      <c r="S199" s="59">
        <f ca="1">AVERAGE(OFFSET($R$3,0,0,'Données projet'!$E$9+1,1))-AVERAGE(OFFSET($H$3,0,0,'Données projet'!$E$9+1,1))</f>
        <v>379.12827535040157</v>
      </c>
      <c r="T199" s="59">
        <f t="shared" si="204"/>
        <v>317.29813413796956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12.925558873453765</v>
      </c>
      <c r="AA199" s="21">
        <f>EXP(-LN(2)/25)*AA198+(1-EXP(-LN(2)/25))/(LN(2)/25)*Calculateur!V199*Calculateur!X199*VLOOKUP('Données projet'!$B$9,Paramètres!$A$1:$I$89,3,0)*0.475*44/12</f>
        <v>0.44653125407800126</v>
      </c>
      <c r="AB199" s="21">
        <f>EXP(-LN(2)/2)*AB198+(1-EXP(-LN(2)/2))/(LN(2)/2)*V199*Y199*VLOOKUP('Données projet'!$B$9,Paramètres!$A$1:$I$89,3,0)*0.475*44/12</f>
        <v>4.4515896276381925E-26</v>
      </c>
      <c r="AC199" s="22">
        <f t="shared" si="163"/>
        <v>13.372090127531767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311.298</v>
      </c>
      <c r="AK199" s="13">
        <f t="shared" si="164"/>
        <v>73.539838278528748</v>
      </c>
      <c r="AL199" s="20">
        <f t="shared" si="165"/>
        <v>670.25923500177089</v>
      </c>
      <c r="AM199" s="59">
        <f t="shared" si="193"/>
        <v>963.59256833510426</v>
      </c>
      <c r="AN199" s="59">
        <f ca="1">AVERAGE(OFFSET($AM$3,0,0,'Données projet'!$E$10+1,1))-AVERAGE(OFFSET($H$3,0,0,'Données projet'!$E$10+1,1))</f>
        <v>392.48436003609055</v>
      </c>
      <c r="AO199" s="59">
        <f t="shared" si="205"/>
        <v>236.3312446580419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22.554767003914616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22.554767003914616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404.99999999999989</v>
      </c>
      <c r="BE199" s="13">
        <f>BD199*VLOOKUP('Données projet'!$B$11,Paramètres!$A$1:$I$89,3,0)*VLOOKUP('Données projet'!$B$11,Paramètres!$A$1:$I$89,5,0)</f>
        <v>347.4899999999999</v>
      </c>
      <c r="BF199" s="13">
        <f t="shared" si="167"/>
        <v>81.045459877391451</v>
      </c>
      <c r="BG199" s="20">
        <f t="shared" si="168"/>
        <v>746.36592595312322</v>
      </c>
      <c r="BH199" s="59">
        <f t="shared" si="194"/>
        <v>1039.6992592864565</v>
      </c>
      <c r="BI199" s="59">
        <f ca="1">AVERAGE(OFFSET($BH$3,0,0,'Données projet'!$E$11+1,1))-AVERAGE(OFFSET($H$3,0,0,'Données projet'!$E$11+1,1))</f>
        <v>352.61091660077574</v>
      </c>
      <c r="BJ199" s="59">
        <f t="shared" si="206"/>
        <v>186.48649111821521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22.088169100387024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22.088169100387024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795.00000000000068</v>
      </c>
      <c r="O200" s="13">
        <f>N200*VLOOKUP('Données projet'!$B$9,Paramètres!$A$1:$I$89,3,0)*VLOOKUP('Données projet'!$B$9,Paramètres!$A$1:$I$89,5,0)</f>
        <v>372.06000000000029</v>
      </c>
      <c r="P200" s="13">
        <f t="shared" si="203"/>
        <v>86.088609967897526</v>
      </c>
      <c r="Q200" s="20">
        <f t="shared" si="162"/>
        <v>797.94216236075533</v>
      </c>
      <c r="R200" s="59">
        <f t="shared" si="191"/>
        <v>1091.2754956940887</v>
      </c>
      <c r="S200" s="59">
        <f ca="1">AVERAGE(OFFSET($R$3,0,0,'Données projet'!$E$9+1,1))-AVERAGE(OFFSET($H$3,0,0,'Données projet'!$E$9+1,1))</f>
        <v>379.12827535040157</v>
      </c>
      <c r="T200" s="59">
        <f t="shared" si="204"/>
        <v>317.29813413796956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12.672096547757787</v>
      </c>
      <c r="AA200" s="21">
        <f>EXP(-LN(2)/25)*AA199+(1-EXP(-LN(2)/25))/(LN(2)/25)*Calculateur!V200*Calculateur!X200*VLOOKUP('Données projet'!$B$9,Paramètres!$A$1:$I$89,3,0)*0.475*44/12</f>
        <v>0.43432083345318023</v>
      </c>
      <c r="AB200" s="21">
        <f>EXP(-LN(2)/2)*AB199+(1-EXP(-LN(2)/2))/(LN(2)/2)*V200*Y200*VLOOKUP('Données projet'!$B$9,Paramètres!$A$1:$I$89,3,0)*0.475*44/12</f>
        <v>3.1477492127626639E-26</v>
      </c>
      <c r="AC200" s="22">
        <f t="shared" si="163"/>
        <v>13.106417381210967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311.298</v>
      </c>
      <c r="AK200" s="13">
        <f t="shared" si="164"/>
        <v>73.539838278528748</v>
      </c>
      <c r="AL200" s="20">
        <f t="shared" si="165"/>
        <v>670.25923500177089</v>
      </c>
      <c r="AM200" s="59">
        <f t="shared" si="193"/>
        <v>963.59256833510426</v>
      </c>
      <c r="AN200" s="59">
        <f ca="1">AVERAGE(OFFSET($AM$3,0,0,'Données projet'!$E$10+1,1))-AVERAGE(OFFSET($H$3,0,0,'Données projet'!$E$10+1,1))</f>
        <v>392.48436003609055</v>
      </c>
      <c r="AO200" s="59">
        <f t="shared" si="205"/>
        <v>236.3312446580419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22.112481780017326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22.112481780017326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404.99999999999989</v>
      </c>
      <c r="BE200" s="13">
        <f>BD200*VLOOKUP('Données projet'!$B$11,Paramètres!$A$1:$I$89,3,0)*VLOOKUP('Données projet'!$B$11,Paramètres!$A$1:$I$89,5,0)</f>
        <v>347.4899999999999</v>
      </c>
      <c r="BF200" s="13">
        <f t="shared" si="167"/>
        <v>81.045459877391451</v>
      </c>
      <c r="BG200" s="20">
        <f t="shared" si="168"/>
        <v>746.36592595312322</v>
      </c>
      <c r="BH200" s="59">
        <f t="shared" si="194"/>
        <v>1039.6992592864565</v>
      </c>
      <c r="BI200" s="59">
        <f ca="1">AVERAGE(OFFSET($BH$3,0,0,'Données projet'!$E$11+1,1))-AVERAGE(OFFSET($H$3,0,0,'Données projet'!$E$11+1,1))</f>
        <v>352.61091660077574</v>
      </c>
      <c r="BJ200" s="59">
        <f t="shared" si="206"/>
        <v>186.48649111821521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21.655033576781292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21.655033576781292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795.00000000000068</v>
      </c>
      <c r="O201" s="13">
        <f>N201*VLOOKUP('Données projet'!$B$9,Paramètres!$A$1:$I$89,3,0)*VLOOKUP('Données projet'!$B$9,Paramètres!$A$1:$I$89,5,0)</f>
        <v>372.06000000000029</v>
      </c>
      <c r="P201" s="13">
        <f t="shared" si="203"/>
        <v>86.088609967897526</v>
      </c>
      <c r="Q201" s="20">
        <f t="shared" si="162"/>
        <v>797.94216236075533</v>
      </c>
      <c r="R201" s="59">
        <f t="shared" si="191"/>
        <v>1091.2754956940887</v>
      </c>
      <c r="S201" s="59">
        <f ca="1">AVERAGE(OFFSET($R$3,0,0,'Données projet'!$E$9+1,1))-AVERAGE(OFFSET($H$3,0,0,'Données projet'!$E$9+1,1))</f>
        <v>379.12827535040157</v>
      </c>
      <c r="T201" s="59">
        <f t="shared" si="204"/>
        <v>317.29813413796956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12.423604463671955</v>
      </c>
      <c r="AA201" s="21">
        <f>EXP(-LN(2)/25)*AA200+(1-EXP(-LN(2)/25))/(LN(2)/25)*Calculateur!V201*Calculateur!X201*VLOOKUP('Données projet'!$B$9,Paramètres!$A$1:$I$89,3,0)*0.475*44/12</f>
        <v>0.42244430742246303</v>
      </c>
      <c r="AB201" s="21">
        <f>EXP(-LN(2)/2)*AB200+(1-EXP(-LN(2)/2))/(LN(2)/2)*V201*Y201*VLOOKUP('Données projet'!$B$9,Paramètres!$A$1:$I$89,3,0)*0.475*44/12</f>
        <v>2.2257948138190962E-26</v>
      </c>
      <c r="AC201" s="22">
        <f t="shared" si="163"/>
        <v>12.846048771094418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311.298</v>
      </c>
      <c r="AK201" s="13">
        <f t="shared" si="164"/>
        <v>73.539838278528748</v>
      </c>
      <c r="AL201" s="20">
        <f t="shared" si="165"/>
        <v>670.25923500177089</v>
      </c>
      <c r="AM201" s="59">
        <f t="shared" si="193"/>
        <v>963.59256833510426</v>
      </c>
      <c r="AN201" s="59">
        <f ca="1">AVERAGE(OFFSET($AM$3,0,0,'Données projet'!$E$10+1,1))-AVERAGE(OFFSET($H$3,0,0,'Données projet'!$E$10+1,1))</f>
        <v>392.48436003609055</v>
      </c>
      <c r="AO201" s="59">
        <f t="shared" si="205"/>
        <v>236.3312446580419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21.678869499593315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21.678869499593315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404.99999999999989</v>
      </c>
      <c r="BE201" s="13">
        <f>BD201*VLOOKUP('Données projet'!$B$11,Paramètres!$A$1:$I$89,3,0)*VLOOKUP('Données projet'!$B$11,Paramètres!$A$1:$I$89,5,0)</f>
        <v>347.4899999999999</v>
      </c>
      <c r="BF201" s="13">
        <f t="shared" si="167"/>
        <v>81.045459877391451</v>
      </c>
      <c r="BG201" s="20">
        <f t="shared" si="168"/>
        <v>746.36592595312322</v>
      </c>
      <c r="BH201" s="59">
        <f t="shared" si="194"/>
        <v>1039.6992592864565</v>
      </c>
      <c r="BI201" s="59">
        <f ca="1">AVERAGE(OFFSET($BH$3,0,0,'Données projet'!$E$11+1,1))-AVERAGE(OFFSET($H$3,0,0,'Données projet'!$E$11+1,1))</f>
        <v>352.61091660077574</v>
      </c>
      <c r="BJ201" s="59">
        <f t="shared" si="206"/>
        <v>186.48649111821521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21.230391576606884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21.230391576606884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795.00000000000068</v>
      </c>
      <c r="O202" s="13">
        <f>N202*VLOOKUP('Données projet'!$B$9,Paramètres!$A$1:$I$89,3,0)*VLOOKUP('Données projet'!$B$9,Paramètres!$A$1:$I$89,5,0)</f>
        <v>372.06000000000029</v>
      </c>
      <c r="P202" s="13">
        <f t="shared" si="203"/>
        <v>86.088609967897526</v>
      </c>
      <c r="Q202" s="20">
        <f t="shared" si="162"/>
        <v>797.94216236075533</v>
      </c>
      <c r="R202" s="59">
        <f t="shared" si="191"/>
        <v>1091.2754956940887</v>
      </c>
      <c r="S202" s="59">
        <f ca="1">AVERAGE(OFFSET($R$3,0,0,'Données projet'!$E$9+1,1))-AVERAGE(OFFSET($H$3,0,0,'Données projet'!$E$9+1,1))</f>
        <v>379.12827535040157</v>
      </c>
      <c r="T202" s="59">
        <f t="shared" si="204"/>
        <v>317.29813413796956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12.17998515778984</v>
      </c>
      <c r="AA202" s="21">
        <f>EXP(-LN(2)/25)*AA201+(1-EXP(-LN(2)/25))/(LN(2)/25)*Calculateur!V202*Calculateur!X202*VLOOKUP('Données projet'!$B$9,Paramètres!$A$1:$I$89,3,0)*0.475*44/12</f>
        <v>0.41089254562061517</v>
      </c>
      <c r="AB202" s="21">
        <f>EXP(-LN(2)/2)*AB201+(1-EXP(-LN(2)/2))/(LN(2)/2)*V202*Y202*VLOOKUP('Données projet'!$B$9,Paramètres!$A$1:$I$89,3,0)*0.475*44/12</f>
        <v>1.573874606381332E-26</v>
      </c>
      <c r="AC202" s="22">
        <f t="shared" si="163"/>
        <v>12.590877703410456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311.298</v>
      </c>
      <c r="AK202" s="13">
        <f t="shared" si="164"/>
        <v>73.539838278528748</v>
      </c>
      <c r="AL202" s="20">
        <f t="shared" si="165"/>
        <v>670.25923500177089</v>
      </c>
      <c r="AM202" s="59">
        <f t="shared" si="193"/>
        <v>963.59256833510426</v>
      </c>
      <c r="AN202" s="59">
        <f ca="1">AVERAGE(OFFSET($AM$3,0,0,'Données projet'!$E$10+1,1))-AVERAGE(OFFSET($H$3,0,0,'Données projet'!$E$10+1,1))</f>
        <v>392.48436003609055</v>
      </c>
      <c r="AO202" s="59">
        <f t="shared" si="205"/>
        <v>236.3312446580419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21.25376009151104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21.25376009151104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404.99999999999989</v>
      </c>
      <c r="BE202" s="13">
        <f>BD202*VLOOKUP('Données projet'!$B$11,Paramètres!$A$1:$I$89,3,0)*VLOOKUP('Données projet'!$B$11,Paramètres!$A$1:$I$89,5,0)</f>
        <v>347.4899999999999</v>
      </c>
      <c r="BF202" s="13">
        <f t="shared" si="167"/>
        <v>81.045459877391451</v>
      </c>
      <c r="BG202" s="20">
        <f t="shared" si="168"/>
        <v>746.36592595312322</v>
      </c>
      <c r="BH202" s="59">
        <f t="shared" si="194"/>
        <v>1039.6992592864565</v>
      </c>
      <c r="BI202" s="59">
        <f ca="1">AVERAGE(OFFSET($BH$3,0,0,'Données projet'!$E$11+1,1))-AVERAGE(OFFSET($H$3,0,0,'Données projet'!$E$11+1,1))</f>
        <v>352.61091660077574</v>
      </c>
      <c r="BJ202" s="59">
        <f t="shared" si="206"/>
        <v>186.48649111821521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20.814076547049851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20.814076547049851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795.00000000000068</v>
      </c>
      <c r="O203" s="13">
        <f>N203*VLOOKUP('Données projet'!$B$9,Paramètres!$A$1:$I$89,3,0)*VLOOKUP('Données projet'!$B$9,Paramètres!$A$1:$I$89,5,0)</f>
        <v>372.06000000000029</v>
      </c>
      <c r="P203" s="13">
        <f t="shared" si="203"/>
        <v>86.088609967897526</v>
      </c>
      <c r="Q203" s="20">
        <f t="shared" si="162"/>
        <v>797.94216236075533</v>
      </c>
      <c r="R203" s="59">
        <f t="shared" si="191"/>
        <v>1091.2754956940887</v>
      </c>
      <c r="S203" s="59">
        <f ca="1">AVERAGE(OFFSET($R$3,0,0,'Données projet'!$E$9+1,1))-AVERAGE(OFFSET($H$3,0,0,'Données projet'!$E$9+1,1))</f>
        <v>379.12827535040157</v>
      </c>
      <c r="T203" s="59">
        <f t="shared" si="204"/>
        <v>317.29813413796956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11.94114307790297</v>
      </c>
      <c r="AA203" s="21">
        <f>EXP(-LN(2)/25)*AA202+(1-EXP(-LN(2)/25))/(LN(2)/25)*Calculateur!V203*Calculateur!X203*VLOOKUP('Données projet'!$B$9,Paramètres!$A$1:$I$89,3,0)*0.475*44/12</f>
        <v>0.3996566673527196</v>
      </c>
      <c r="AB203" s="21">
        <f>EXP(-LN(2)/2)*AB202+(1-EXP(-LN(2)/2))/(LN(2)/2)*V203*Y203*VLOOKUP('Données projet'!$B$9,Paramètres!$A$1:$I$89,3,0)*0.475*44/12</f>
        <v>1.1128974069095481E-26</v>
      </c>
      <c r="AC203" s="22">
        <f t="shared" si="163"/>
        <v>12.340799745255689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311.298</v>
      </c>
      <c r="AK203" s="13">
        <f t="shared" si="164"/>
        <v>73.539838278528748</v>
      </c>
      <c r="AL203" s="20">
        <f t="shared" si="165"/>
        <v>670.25923500177089</v>
      </c>
      <c r="AM203" s="59">
        <f t="shared" si="193"/>
        <v>963.59256833510426</v>
      </c>
      <c r="AN203" s="59">
        <f ca="1">AVERAGE(OFFSET($AM$3,0,0,'Données projet'!$E$10+1,1))-AVERAGE(OFFSET($H$3,0,0,'Données projet'!$E$10+1,1))</f>
        <v>392.48436003609055</v>
      </c>
      <c r="AO203" s="59">
        <f t="shared" si="205"/>
        <v>236.3312446580419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20.836986819630123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20.836986819630123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404.99999999999989</v>
      </c>
      <c r="BE203" s="13">
        <f>BD203*VLOOKUP('Données projet'!$B$11,Paramètres!$A$1:$I$89,3,0)*VLOOKUP('Données projet'!$B$11,Paramètres!$A$1:$I$89,5,0)</f>
        <v>347.4899999999999</v>
      </c>
      <c r="BF203" s="13">
        <f t="shared" si="167"/>
        <v>81.045459877391451</v>
      </c>
      <c r="BG203" s="20">
        <f t="shared" si="168"/>
        <v>746.36592595312322</v>
      </c>
      <c r="BH203" s="59">
        <f t="shared" si="194"/>
        <v>1039.6992592864565</v>
      </c>
      <c r="BI203" s="59">
        <f ca="1">AVERAGE(OFFSET($BH$3,0,0,'Données projet'!$E$11+1,1))-AVERAGE(OFFSET($H$3,0,0,'Données projet'!$E$11+1,1))</f>
        <v>352.61091660077574</v>
      </c>
      <c r="BJ203" s="59">
        <f t="shared" si="206"/>
        <v>186.48649111821521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20.405925201295336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20.405925201295336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1.3167180204218134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1.2392705892426346</v>
      </c>
      <c r="BA205" s="81">
        <f>EXP(LN('Données projet'!B88)/'Données projet'!A88)</f>
        <v>1.189207115002721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Cèdre de l'Atlas</v>
      </c>
      <c r="B6" s="144">
        <f>'Données projet'!D9</f>
        <v>0.43096969692660003</v>
      </c>
      <c r="C6" s="145">
        <f ca="1">IF(OR('Données projet'!B9="",'Données projet'!C9="",'Données projet'!C9=0%),0,Calculateur!S3)</f>
        <v>379.12827535040157</v>
      </c>
      <c r="D6" s="145">
        <f>IF(OR('Données projet'!B9="",'Données projet'!C9="",'Données projet'!C9=0%),0,Calculateur!T3)</f>
        <v>317.29813413796956</v>
      </c>
      <c r="E6" s="145">
        <f ca="1">MIN(C6,D6)</f>
        <v>317.29813413796956</v>
      </c>
      <c r="F6" s="145">
        <f ca="1">E6*B6</f>
        <v>136.74588070481641</v>
      </c>
      <c r="G6" s="145">
        <f ca="1">F6*(100%-'Données projet'!$C$24)*(100%-'Données projet'!$C$25)*(100%-'Données projet'!$C$26)*(100%-'Données projet'!$C$27)</f>
        <v>123.07129263433478</v>
      </c>
      <c r="H6" s="146">
        <f>IF(OR('Données projet'!B9="",'Données projet'!C9="",'Données projet'!C9=0%),0,AVERAGE(Calculateur!$AC$3:$AC$33)*B6)</f>
        <v>2.8254528152059097</v>
      </c>
      <c r="I6" s="147">
        <f>H6*(100%-'Données projet'!$C$24)*(100%-'Données projet'!$C$25)*(100%-'Données projet'!$C$26)*(100%-'Données projet'!$C$27)</f>
        <v>2.5429075336853186</v>
      </c>
      <c r="J6" s="148">
        <f>IF(OR('Données projet'!B9="",'Données projet'!C9="",'Données projet'!C9=0%),0,SUM(Calculateur!$V$3:$V$33)*VLOOKUP('Données projet'!$B$9,Paramètres!$A$1:$I$89,9,0)*B6)</f>
        <v>30.762616966620708</v>
      </c>
      <c r="K6" s="149">
        <f>J6*(100%-'Données projet'!$C$24)*(100%-'Données projet'!$C$25)*(100%-'Données projet'!$C$26)*(100%-'Données projet'!$C$27)</f>
        <v>27.686355269958639</v>
      </c>
      <c r="L6" s="150">
        <f ca="1">G6+I6+K6</f>
        <v>153.30055543797874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0.3315151482</v>
      </c>
      <c r="C7" s="145">
        <f ca="1">IF(OR('Données projet'!B10="",'Données projet'!C10="",'Données projet'!C10=0%),0,Calculateur!AN3)</f>
        <v>392.48436003609055</v>
      </c>
      <c r="D7" s="145">
        <f>IF(OR('Données projet'!B10="",'Données projet'!C10="",'Données projet'!C10=0%),0,Calculateur!AO3)</f>
        <v>236.3312446580419</v>
      </c>
      <c r="E7" s="145">
        <f t="shared" ref="E7:E15" ca="1" si="0">MIN(C7,D7)</f>
        <v>236.3312446580419</v>
      </c>
      <c r="F7" s="145">
        <f t="shared" ref="F7:F15" ca="1" si="1">E7*B7</f>
        <v>78.347387597101218</v>
      </c>
      <c r="G7" s="145">
        <f ca="1">F7*(100%-'Données projet'!$C$24)*(100%-'Données projet'!$C$25)*(100%-'Données projet'!$C$26)*(100%-'Données projet'!$C$27)</f>
        <v>70.512648837391097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5.1384847971000003</v>
      </c>
      <c r="K7" s="149">
        <f>J7*(100%-'Données projet'!$C$24)*(100%-'Données projet'!$C$25)*(100%-'Données projet'!$C$26)*(100%-'Données projet'!$C$27)</f>
        <v>4.6246363173900003</v>
      </c>
      <c r="L7" s="150">
        <f t="shared" ref="L7:L15" ca="1" si="2">G7+I7+K7</f>
        <v>75.137285154781097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Hêtre</v>
      </c>
      <c r="B8" s="152">
        <f>'Données projet'!D11</f>
        <v>0.3315151482</v>
      </c>
      <c r="C8" s="145">
        <f ca="1">IF(OR('Données projet'!B11="",'Données projet'!C11="",'Données projet'!C11=0%),0,Calculateur!BI3)</f>
        <v>352.61091660077574</v>
      </c>
      <c r="D8" s="145">
        <f>IF(OR('Données projet'!B11="",'Données projet'!C11="",'Données projet'!C11=0%),0,Calculateur!BJ3)</f>
        <v>186.48649111821521</v>
      </c>
      <c r="E8" s="145">
        <f t="shared" ca="1" si="0"/>
        <v>186.48649111821521</v>
      </c>
      <c r="F8" s="145">
        <f t="shared" ca="1" si="1"/>
        <v>61.823096740353101</v>
      </c>
      <c r="G8" s="145">
        <f ca="1">F8*(100%-'Données projet'!$C$24)*(100%-'Données projet'!$C$25)*(100%-'Données projet'!$C$26)*(100%-'Données projet'!$C$27)</f>
        <v>55.640787066317792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2.90075754675</v>
      </c>
      <c r="K8" s="149">
        <f>J8*(100%-'Données projet'!$C$24)*(100%-'Données projet'!$C$25)*(100%-'Données projet'!$C$26)*(100%-'Données projet'!$C$27)</f>
        <v>2.6106817920749998</v>
      </c>
      <c r="L8" s="150">
        <f t="shared" ca="1" si="2"/>
        <v>58.251468858392791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276.91636504227074</v>
      </c>
      <c r="G16" s="164">
        <f t="shared" ca="1" si="3"/>
        <v>249.22472853804368</v>
      </c>
      <c r="H16" s="165">
        <f t="shared" si="3"/>
        <v>2.8254528152059097</v>
      </c>
      <c r="I16" s="165">
        <f t="shared" si="3"/>
        <v>2.5429075336853186</v>
      </c>
      <c r="J16" s="166">
        <f t="shared" si="3"/>
        <v>38.801859310470711</v>
      </c>
      <c r="K16" s="166">
        <f t="shared" si="3"/>
        <v>34.921673379423638</v>
      </c>
      <c r="L16" s="167">
        <f t="shared" ca="1" si="3"/>
        <v>286.68930945115261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31" sqref="I3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-2526.5414279525539</v>
      </c>
      <c r="U10" s="176">
        <f>'Données projet'!D9</f>
        <v>0.43096969692660003</v>
      </c>
      <c r="V10" s="175">
        <f>U10*T10</f>
        <v>-1088.8627934772114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-3734.2221361154457</v>
      </c>
      <c r="U11" s="176">
        <f>'Données projet'!D10</f>
        <v>0.3315151482</v>
      </c>
      <c r="V11" s="175">
        <f t="shared" ref="V11" si="0">U11*T11</f>
        <v>-1237.9512048660326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Hêtre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-3089.5732808358757</v>
      </c>
      <c r="U12" s="176">
        <f>'Données projet'!D11</f>
        <v>0.3315151482</v>
      </c>
      <c r="V12" s="175">
        <f t="shared" ref="V12:V19" si="1">U12*T12</f>
        <v>-1024.2403440710655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2400.37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3054.16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10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400.00000000000023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8272.76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705.41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705.41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705.41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-13163.275446259204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26</v>
      </c>
      <c r="C24" s="191">
        <v>10</v>
      </c>
      <c r="D24" s="180">
        <f t="shared" ref="D24:D42" si="2">B24*C24</f>
        <v>260</v>
      </c>
      <c r="E24" s="191"/>
      <c r="F24" s="231"/>
      <c r="H24" s="188">
        <v>4</v>
      </c>
      <c r="I24" s="189">
        <v>705.41</v>
      </c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75.235999595850686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70</v>
      </c>
      <c r="C25" s="191">
        <v>10</v>
      </c>
      <c r="D25" s="180">
        <f t="shared" si="2"/>
        <v>700</v>
      </c>
      <c r="E25" s="191"/>
      <c r="F25" s="231"/>
      <c r="H25" s="188">
        <v>5</v>
      </c>
      <c r="I25" s="189">
        <v>705.41</v>
      </c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-13238.511445855054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70</v>
      </c>
      <c r="C26" s="191">
        <v>10</v>
      </c>
      <c r="D26" s="180">
        <f t="shared" si="2"/>
        <v>700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70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70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63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56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52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49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47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45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3883.68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6</v>
      </c>
      <c r="C54" s="189">
        <v>15</v>
      </c>
      <c r="D54" s="177">
        <f>B54*C54</f>
        <v>90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28</v>
      </c>
      <c r="C55" s="189">
        <v>15</v>
      </c>
      <c r="D55" s="177">
        <f t="shared" ref="D55:D73" si="4">B55*C55</f>
        <v>420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28</v>
      </c>
      <c r="C56" s="189">
        <v>15</v>
      </c>
      <c r="D56" s="177">
        <f t="shared" si="4"/>
        <v>420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28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28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28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28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28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28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28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28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28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28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27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26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25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24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Hêtre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3236.65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7</v>
      </c>
      <c r="C86" s="189">
        <v>15</v>
      </c>
      <c r="D86" s="177">
        <f t="shared" ref="D86:D104" si="6">B86*C86</f>
        <v>105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28</v>
      </c>
      <c r="C87" s="189">
        <v>15</v>
      </c>
      <c r="D87" s="177">
        <f t="shared" si="6"/>
        <v>420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28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28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28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28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28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28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27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26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25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24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23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22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21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2023-07-17T13:57:38Z</dcterms:modified>
</cp:coreProperties>
</file>